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docMetadata/LabelInfo.xml" ContentType="application/vnd.ms-office.classificationlabels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readedComments/threadedComment3.xml" ContentType="application/vnd.ms-excel.threadedcomments+xml"/>
  <Override PartName="/xl/threadedComments/threadedComment2.xml" ContentType="application/vnd.ms-excel.threaded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0" yWindow="0" windowWidth="24000" windowHeight="9030" tabRatio="567"/>
  </bookViews>
  <sheets>
    <sheet name="Actual FC, PGCIL &amp; TM Cost" sheetId="3" r:id="rId1"/>
    <sheet name="Avail &amp; Stranded Capacity" sheetId="5" r:id="rId2"/>
    <sheet name="Addnl Surcharge H2_25-26" sheetId="1" r:id="rId3"/>
    <sheet name="Distribution Charges" sheetId="7" r:id="rId4"/>
    <sheet name="Servicewise Inf. SP+NP" sheetId="9" r:id="rId5"/>
    <sheet name="OA Sales Trend" sheetId="6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'Actual FC, PGCIL &amp; TM Cost'!$G$2:$L$55</definedName>
    <definedName name="_xlnm.Print_Area" localSheetId="2">'Addnl Surcharge H2_25-26'!$A$3:$E$21</definedName>
  </definedNames>
  <calcPr calcId="124519" calcMode="autoNoTable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9"/>
  <c r="E4"/>
  <c r="D5"/>
  <c r="D4"/>
  <c r="O8" i="3"/>
  <c r="O10"/>
  <c r="N10" l="1"/>
  <c r="N11" s="1"/>
  <c r="J6" s="1"/>
  <c r="N8"/>
  <c r="O5"/>
  <c r="O7"/>
  <c r="O6"/>
  <c r="N7"/>
  <c r="N6"/>
  <c r="N5"/>
  <c r="O9"/>
  <c r="N9"/>
  <c r="J5" l="1"/>
  <c r="E7" i="1"/>
  <c r="E10" l="1"/>
  <c r="E12" s="1"/>
  <c r="E11" l="1"/>
  <c r="J8" i="3" l="1"/>
  <c r="H13" i="7" l="1"/>
  <c r="E20" i="1" l="1"/>
  <c r="H6" i="5" l="1"/>
  <c r="G6" l="1"/>
  <c r="G4" l="1"/>
  <c r="G3" l="1"/>
  <c r="G5" l="1"/>
  <c r="G7" l="1"/>
  <c r="F6" l="1"/>
  <c r="E6" l="1"/>
  <c r="D6" l="1"/>
  <c r="D4" l="1"/>
  <c r="D3" l="1"/>
  <c r="D5" l="1"/>
  <c r="D7" l="1"/>
  <c r="C6" l="1"/>
  <c r="I6" l="1"/>
  <c r="C58" i="3" l="1"/>
  <c r="C57"/>
  <c r="C55"/>
  <c r="C54"/>
  <c r="C51"/>
  <c r="C52"/>
  <c r="C50"/>
  <c r="C49"/>
  <c r="C46"/>
  <c r="C45"/>
  <c r="C43"/>
  <c r="C41"/>
  <c r="C42"/>
  <c r="C31"/>
  <c r="C32"/>
  <c r="C33"/>
  <c r="C34"/>
  <c r="C35"/>
  <c r="C36"/>
  <c r="C37"/>
  <c r="C38"/>
  <c r="C39"/>
  <c r="C40"/>
  <c r="C30"/>
  <c r="C29"/>
  <c r="C27"/>
  <c r="C26"/>
  <c r="C15"/>
  <c r="C16"/>
  <c r="C17"/>
  <c r="C18"/>
  <c r="C19"/>
  <c r="C20"/>
  <c r="C21"/>
  <c r="C22"/>
  <c r="C23"/>
  <c r="C11"/>
  <c r="C12"/>
  <c r="C13"/>
  <c r="C14"/>
  <c r="C7"/>
  <c r="C8"/>
  <c r="C9"/>
  <c r="C10"/>
  <c r="C6"/>
  <c r="E11" i="7" l="1"/>
  <c r="E10"/>
  <c r="E5"/>
  <c r="E4"/>
  <c r="H15" i="3"/>
  <c r="E6" i="9" l="1"/>
  <c r="E8" s="1"/>
  <c r="E15" i="1" s="1"/>
  <c r="D6" i="9" l="1"/>
  <c r="D8" s="1"/>
  <c r="J14" i="3" s="1"/>
  <c r="F11" i="7" l="1"/>
  <c r="F10"/>
  <c r="F5"/>
  <c r="F4"/>
  <c r="F13" l="1"/>
  <c r="C28" i="3" l="1"/>
  <c r="C48" l="1"/>
  <c r="C56" l="1"/>
  <c r="J15"/>
  <c r="C24"/>
  <c r="C44"/>
  <c r="C47" l="1"/>
  <c r="C53" l="1"/>
  <c r="J9" l="1"/>
  <c r="H16" s="1"/>
  <c r="C59"/>
  <c r="J16" l="1"/>
  <c r="J17" s="1"/>
  <c r="E17" i="1" s="1"/>
  <c r="C61" i="3"/>
  <c r="F6" i="6"/>
  <c r="F5"/>
  <c r="D13"/>
  <c r="F8"/>
  <c r="F9"/>
  <c r="F10"/>
  <c r="F11"/>
  <c r="F12"/>
  <c r="F7"/>
  <c r="F13" s="1"/>
  <c r="G13" s="1"/>
  <c r="J7" i="3" l="1"/>
  <c r="J10" s="1"/>
  <c r="E13" i="1" s="1"/>
  <c r="E14" l="1"/>
  <c r="E16" s="1"/>
  <c r="E18" s="1"/>
  <c r="E3" i="5" l="1"/>
  <c r="E4" l="1"/>
  <c r="E5" l="1"/>
  <c r="E7" l="1"/>
  <c r="C3" l="1"/>
  <c r="C4" l="1"/>
  <c r="C5" l="1"/>
  <c r="C7" l="1"/>
  <c r="H3" l="1"/>
  <c r="H4" l="1"/>
  <c r="H5" l="1"/>
  <c r="H7" l="1"/>
  <c r="F3" l="1"/>
  <c r="I3" l="1"/>
  <c r="E5" i="1" s="1"/>
  <c r="E8" s="1"/>
  <c r="F4" i="5" l="1"/>
  <c r="I4" l="1"/>
  <c r="F5"/>
  <c r="I5" l="1"/>
  <c r="F7"/>
  <c r="I7" l="1"/>
  <c r="C8" l="1"/>
  <c r="D8"/>
  <c r="G8"/>
  <c r="E8"/>
  <c r="H8"/>
  <c r="D9"/>
  <c r="H9"/>
  <c r="F8"/>
  <c r="E9"/>
  <c r="C9"/>
  <c r="F9"/>
  <c r="G9"/>
  <c r="I9" l="1"/>
  <c r="E6" i="1" s="1"/>
  <c r="E9" s="1"/>
  <c r="E19" s="1"/>
  <c r="E21" s="1"/>
  <c r="I8" i="5"/>
</calcChain>
</file>

<file path=xl/sharedStrings.xml><?xml version="1.0" encoding="utf-8"?>
<sst xmlns="http://schemas.openxmlformats.org/spreadsheetml/2006/main" count="233" uniqueCount="195">
  <si>
    <t xml:space="preserve">Additional Surcharge </t>
  </si>
  <si>
    <t>Unit</t>
  </si>
  <si>
    <t>{A}</t>
  </si>
  <si>
    <t>Long term available capacity</t>
  </si>
  <si>
    <t>MW</t>
  </si>
  <si>
    <t>{B}</t>
  </si>
  <si>
    <t>Capacity stranded due to open access</t>
  </si>
  <si>
    <t>Capacity stranded due to open access incl Captive</t>
  </si>
  <si>
    <t>{C}</t>
  </si>
  <si>
    <t>Fixed Charges paid</t>
  </si>
  <si>
    <t>Rs. crore</t>
  </si>
  <si>
    <t>Actual FC excl NCEs</t>
  </si>
  <si>
    <t>{D}={C}÷{A}</t>
  </si>
  <si>
    <t>Fixed Charges per MW</t>
  </si>
  <si>
    <t>Rs. crore/MW</t>
  </si>
  <si>
    <t>{E}={D}x{B}</t>
  </si>
  <si>
    <t>Fixed Charges for stranded capacity</t>
  </si>
  <si>
    <t>{F}</t>
  </si>
  <si>
    <t>Transmission charges paid</t>
  </si>
  <si>
    <t>{G}</t>
  </si>
  <si>
    <t>Actual Energy scheduled</t>
  </si>
  <si>
    <t>MU</t>
  </si>
  <si>
    <t>{H}={F}÷{G}</t>
  </si>
  <si>
    <t>Transmission charges per unit</t>
  </si>
  <si>
    <t>Rs./kWh</t>
  </si>
  <si>
    <t>I</t>
  </si>
  <si>
    <t>Distribution charges as per Tariff Order</t>
  </si>
  <si>
    <t>{J}={H}+{I}</t>
  </si>
  <si>
    <t>Total transmission and distribution charges per unit</t>
  </si>
  <si>
    <t>{K}</t>
  </si>
  <si>
    <t>{L}={K}x{J}</t>
  </si>
  <si>
    <t>{M}</t>
  </si>
  <si>
    <t>Demand charges recovered by the DISCOM from open access consumers</t>
  </si>
  <si>
    <t>Demand Charges Excl GPCIL &amp; TP</t>
  </si>
  <si>
    <t>{N}={M}-{L}</t>
  </si>
  <si>
    <t>Demand charges to be adjusted</t>
  </si>
  <si>
    <t>{O}={E}-{N}</t>
  </si>
  <si>
    <t>Net stranded charges recoverable</t>
  </si>
  <si>
    <t>{P}</t>
  </si>
  <si>
    <t>Open access sales</t>
  </si>
  <si>
    <t>Total Intra State + Total  OA</t>
  </si>
  <si>
    <t>{Q}={O}÷{P}</t>
  </si>
  <si>
    <t>Additional Surcharge computed</t>
  </si>
  <si>
    <t>Actual FC incl NCEs</t>
  </si>
  <si>
    <t>Intra State(Excl Captive) + OA (Excl Captive)</t>
  </si>
  <si>
    <t>consider captive in OA MW</t>
  </si>
  <si>
    <t>Total Intra State + Total  OA + APGPCL</t>
  </si>
  <si>
    <t>Consider captive in OA Sales</t>
  </si>
  <si>
    <t>Only Third Party OA MU</t>
  </si>
  <si>
    <t>Energy Excl GPCIL</t>
  </si>
  <si>
    <t>Energy incl GPCIL</t>
  </si>
  <si>
    <t>Energy Excl GPCIL &amp; TP</t>
  </si>
  <si>
    <t>Demand Charges Excl GPCIL</t>
  </si>
  <si>
    <t>Demand Charges incl GPCIL</t>
  </si>
  <si>
    <t>Capacity stranded due to open access w/o Captive</t>
  </si>
  <si>
    <t>RTS-B</t>
  </si>
  <si>
    <t>CGS Total</t>
  </si>
  <si>
    <t>CGS</t>
  </si>
  <si>
    <t>NPC  Kaiga - I&amp; II</t>
  </si>
  <si>
    <t>NPC-MAPS</t>
  </si>
  <si>
    <t>NPC-Kudankulam</t>
  </si>
  <si>
    <t>NLC ST-I</t>
  </si>
  <si>
    <t>NLC ST-II</t>
  </si>
  <si>
    <t>NTPC(SR) I &amp; II</t>
  </si>
  <si>
    <t>NTPC(SR) ST III</t>
  </si>
  <si>
    <t>NTPC-Simhadri -I</t>
  </si>
  <si>
    <t>NTPC-Simhadri -II</t>
  </si>
  <si>
    <t>NTPC-Talcher-ST II</t>
  </si>
  <si>
    <t>NTPC KUDIGI I</t>
  </si>
  <si>
    <t>NTECL - VALLURU</t>
  </si>
  <si>
    <t>NLC Tamilnadu Power Ltd</t>
  </si>
  <si>
    <t>IPPs</t>
  </si>
  <si>
    <t>TOTAL IPPs/MPPs</t>
  </si>
  <si>
    <t>KTPS V (D)</t>
  </si>
  <si>
    <t>KTPS VI</t>
  </si>
  <si>
    <t>Kakatiya Stage-I</t>
  </si>
  <si>
    <t>Kakatiya Stage-II</t>
  </si>
  <si>
    <t>KTPS Stage VII</t>
  </si>
  <si>
    <t>Interest on Pension bonds</t>
  </si>
  <si>
    <t>TSGENCO-Hydel</t>
  </si>
  <si>
    <t>TSGENCO-TOTAL</t>
  </si>
  <si>
    <t>SINGARENI CCL U1&amp;U2</t>
  </si>
  <si>
    <t>Chatthisgargh SPDCL</t>
  </si>
  <si>
    <t>PGCIL Non POC</t>
  </si>
  <si>
    <t>POSOCO (SRLDC Fees &amp; Charges)</t>
  </si>
  <si>
    <t>TSTRANSCO-TR TSNPDCL</t>
  </si>
  <si>
    <t>TSTRANSCO-TR TSSPDCL</t>
  </si>
  <si>
    <t>TSTRANSCO-SLDC TSNPDCL</t>
  </si>
  <si>
    <t>TSTRANSCO-SLDC TSSPDCL</t>
  </si>
  <si>
    <t>Name of the Generating Station</t>
  </si>
  <si>
    <t>Total Fixed Cost Excl NCEs</t>
  </si>
  <si>
    <t>PGCIL</t>
  </si>
  <si>
    <t>Transco</t>
  </si>
  <si>
    <t>SLDC</t>
  </si>
  <si>
    <t>PGCIL &amp; T/m Cost</t>
  </si>
  <si>
    <t>Total</t>
  </si>
  <si>
    <t>NNTPS</t>
  </si>
  <si>
    <t>Particular (in MW)</t>
  </si>
  <si>
    <t>Average</t>
  </si>
  <si>
    <t>Scheduled Capacity</t>
  </si>
  <si>
    <t>OA Scheduled Capacity</t>
  </si>
  <si>
    <t>Stranded Capacity</t>
  </si>
  <si>
    <t>FY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</si>
  <si>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</si>
  <si>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</si>
  <si>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</si>
  <si>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</si>
  <si>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</si>
  <si>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</si>
  <si>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</si>
  <si>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</si>
  <si>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H1</t>
  </si>
  <si>
    <t>H2</t>
  </si>
  <si>
    <t>OA Sales excluding captive (MU)</t>
  </si>
  <si>
    <t>Expn I</t>
  </si>
  <si>
    <t>Expn II</t>
  </si>
  <si>
    <t>Sembcorp Energy India Limited (570 MW)</t>
  </si>
  <si>
    <t>Sembcorp Energy India Limited (269.45 MW)</t>
  </si>
  <si>
    <t>BTPS (I to IV)</t>
  </si>
  <si>
    <t>Water Charges</t>
  </si>
  <si>
    <t>PGCIL POC-CTUIL</t>
  </si>
  <si>
    <t>(a)</t>
  </si>
  <si>
    <t>(b)</t>
  </si>
  <si>
    <t>Total Distribution charges as per Tariff Order</t>
  </si>
  <si>
    <t>(c)=a/b</t>
  </si>
  <si>
    <t>(d)</t>
  </si>
  <si>
    <t>Percentage of other than LT distribution cost (i.e., for 11 kV and 33 kV) in total distribution cost as per MYT Distribution Tariff Order</t>
  </si>
  <si>
    <t>(e)=(½xd)/a</t>
  </si>
  <si>
    <t>Distribution charges as per Tariff Order considered by Commission for Additional Surcharge calculation</t>
  </si>
  <si>
    <t>(f)=e*c</t>
  </si>
  <si>
    <t>Table 4-2: Distribution Charges considered</t>
  </si>
  <si>
    <t>Table 4-3: Net Demand Charges recovered by TSDISCOMs from Open Access consumers</t>
  </si>
  <si>
    <t>(A)</t>
  </si>
  <si>
    <t>(D)=(A-C)</t>
  </si>
  <si>
    <t>Total Demand Charges Recovered</t>
  </si>
  <si>
    <t>Distribution Cost recovery percentage in demand Charges as per Tariff Order values</t>
  </si>
  <si>
    <t>Lt Network cost recovery percentage in Distribution cost</t>
  </si>
  <si>
    <t>Net demand charges (Excluding LT network cost recovery) considered in Additional Surcharge calculations</t>
  </si>
  <si>
    <t>Gross(Deficit)/Surplus</t>
  </si>
  <si>
    <t>Short-Term Purchases Capacity</t>
  </si>
  <si>
    <t>(Deficit)/Surplus after netting of Short-Term Purchases</t>
  </si>
  <si>
    <t>Transmission and distribution charges to payable by open access consumers</t>
  </si>
  <si>
    <t>Energy consumed by open access consumers from the DISCOMs</t>
  </si>
  <si>
    <t>NTPC Telangana TPS St.1</t>
  </si>
  <si>
    <t>Fixed Cost paid by Discom:</t>
  </si>
  <si>
    <t>INR Cr</t>
  </si>
  <si>
    <t>Rs/kWh</t>
  </si>
  <si>
    <t>%</t>
  </si>
  <si>
    <t>Particulars</t>
  </si>
  <si>
    <t>NTPC (Pushp)</t>
  </si>
  <si>
    <t>NCEs- TGNPDCL</t>
  </si>
  <si>
    <t>NCEs- TGSPDCL</t>
  </si>
  <si>
    <t>NVVNL B.P-Coal</t>
  </si>
  <si>
    <t>NSM-Coal Phase II</t>
  </si>
  <si>
    <t>UI-SRPC/Deviation charges</t>
  </si>
  <si>
    <t>SPDCL</t>
  </si>
  <si>
    <t>NPDCL</t>
  </si>
  <si>
    <t>33 kV</t>
  </si>
  <si>
    <t>11 kV</t>
  </si>
  <si>
    <t>Value (INR)</t>
  </si>
  <si>
    <t>Cost Allocation from RST Order</t>
  </si>
  <si>
    <t>Demand - G</t>
  </si>
  <si>
    <t>Demand - T</t>
  </si>
  <si>
    <t>Demand - D</t>
  </si>
  <si>
    <t>Total Demand</t>
  </si>
  <si>
    <t>Rs. (in Crores)</t>
  </si>
  <si>
    <t>(B)=28.98%(A)</t>
  </si>
  <si>
    <t>kW</t>
  </si>
  <si>
    <t>Source</t>
  </si>
  <si>
    <t>Total Distribution Charges (Rs. Cr.)</t>
  </si>
  <si>
    <t>Rs. Cr.</t>
  </si>
  <si>
    <t>Rs/kVA/month</t>
  </si>
  <si>
    <t>Crores</t>
  </si>
  <si>
    <t>FY 25</t>
  </si>
  <si>
    <t>Half (½) of the Distribution cost as per the MYT Distribution Tariff Order dt 28.10.2024 by considering ARR less NTI.</t>
  </si>
  <si>
    <t>Distribution charges other than LT (i.e., 11 kV  and 33 kV) as per MYT Distribution Tariff Order</t>
  </si>
  <si>
    <t>YTPS</t>
  </si>
  <si>
    <t>to be updated each FY</t>
  </si>
  <si>
    <t>To be updated each year</t>
  </si>
  <si>
    <t>Filings for FY25-26 H2</t>
  </si>
  <si>
    <t>Considering Actual Data of Oct'24 to Mar'25</t>
  </si>
  <si>
    <t>FC paid from Oct'24 to Mar'25</t>
  </si>
  <si>
    <t>Available capacity</t>
  </si>
  <si>
    <t>DISCOM KWh</t>
  </si>
  <si>
    <t>Demand Charges Normal</t>
  </si>
  <si>
    <t>LT</t>
  </si>
  <si>
    <t>Transmission</t>
  </si>
  <si>
    <t>Losses</t>
  </si>
  <si>
    <t>Energy scheduled after losses</t>
  </si>
  <si>
    <t>Energy Purchased after grossing sale of power and swapping</t>
  </si>
  <si>
    <t>(C)=86.56%(B)</t>
  </si>
  <si>
    <t>Stranded Capacity arrived by considering minimum surplus and OA scheduled capacity for each 15-min block</t>
  </si>
  <si>
    <t>Scheduled energy considering tramsmission losses</t>
  </si>
  <si>
    <t>Approved</t>
  </si>
  <si>
    <t>Actual scheduled capacity for H2 FY 2024-25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</si>
</sst>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.00_);_(* \(#,##0.00\);_(* &quot;-&quot;??_);_(@_)"/>
    <numFmt numFmtId="165" formatCode="0.000"/>
    <numFmt numFmtId="166" formatCode="0.0%"/>
    <numFmt numFmtId="167" formatCode="#,##0.000"/>
    <numFmt numFmtId="168" formatCode="_(* #,##0_);_(* \(#,##0\);_(* &quot;-&quot;??_);_(@_)"/>
    <numFmt numFmtId="169" formatCode="0.0000"/>
    <numFmt numFmtId="170" formatCode="_ * #,##0.0000000_ ;_ * \-#,##0.0000000_ ;_ * &quot;-&quot;??_ ;_ @_ 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Bookman Old Style"/>
      <family val="1"/>
    </font>
    <font>
      <b/>
      <sz val="12"/>
      <color theme="1"/>
      <name val="Bookman Old Style"/>
      <family val="1"/>
    </font>
    <font>
      <sz val="12"/>
      <color rgb="FF000000"/>
      <name val="Bookman Old Style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b/>
      <sz val="12"/>
      <color indexed="8"/>
      <name val="Bookman Old Style"/>
      <family val="1"/>
    </font>
    <font>
      <b/>
      <u/>
      <sz val="12"/>
      <name val="Bookman Old Style"/>
      <family val="1"/>
    </font>
    <font>
      <b/>
      <u/>
      <sz val="12"/>
      <color theme="1"/>
      <name val="Bookman Old Style"/>
      <family val="1"/>
    </font>
    <font>
      <i/>
      <sz val="12"/>
      <color theme="1"/>
      <name val="Bookman Old Style"/>
      <family val="1"/>
    </font>
    <font>
      <sz val="12"/>
      <color indexed="8"/>
      <name val="Bookman Old Style"/>
      <family val="1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3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9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2" fontId="1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Fill="1" applyBorder="1" applyAlignment="1">
      <alignment vertical="center" wrapText="1"/>
    </xf>
    <xf numFmtId="2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6" fillId="0" borderId="0" xfId="0" applyNumberFormat="1" applyFont="1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vertical="center" wrapText="1"/>
    </xf>
    <xf numFmtId="2" fontId="6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2" fontId="6" fillId="0" borderId="0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2" fontId="7" fillId="0" borderId="0" xfId="0" applyNumberFormat="1" applyFont="1" applyAlignment="1">
      <alignment vertical="center"/>
    </xf>
    <xf numFmtId="0" fontId="7" fillId="0" borderId="0" xfId="0" applyFont="1" applyFill="1" applyBorder="1" applyAlignment="1">
      <alignment vertical="center"/>
    </xf>
    <xf numFmtId="10" fontId="6" fillId="0" borderId="0" xfId="4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vertical="center"/>
    </xf>
    <xf numFmtId="2" fontId="9" fillId="0" borderId="0" xfId="0" applyNumberFormat="1" applyFont="1" applyFill="1" applyBorder="1" applyAlignment="1">
      <alignment horizontal="right" vertical="center"/>
    </xf>
    <xf numFmtId="2" fontId="7" fillId="0" borderId="0" xfId="0" applyNumberFormat="1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2" fontId="13" fillId="0" borderId="0" xfId="0" applyNumberFormat="1" applyFont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/>
    </xf>
    <xf numFmtId="0" fontId="6" fillId="0" borderId="1" xfId="0" applyFont="1" applyFill="1" applyBorder="1"/>
    <xf numFmtId="0" fontId="7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 wrapText="1"/>
    </xf>
    <xf numFmtId="17" fontId="7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right" vertical="center"/>
    </xf>
    <xf numFmtId="1" fontId="11" fillId="3" borderId="1" xfId="0" applyNumberFormat="1" applyFont="1" applyFill="1" applyBorder="1" applyAlignment="1">
      <alignment vertical="center"/>
    </xf>
    <xf numFmtId="1" fontId="7" fillId="3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2" fontId="7" fillId="3" borderId="1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43" fontId="6" fillId="0" borderId="0" xfId="5" applyFont="1" applyBorder="1" applyAlignment="1">
      <alignment vertical="center"/>
    </xf>
    <xf numFmtId="43" fontId="6" fillId="0" borderId="0" xfId="5" applyFont="1" applyAlignment="1">
      <alignment vertical="center"/>
    </xf>
    <xf numFmtId="1" fontId="12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" fontId="6" fillId="2" borderId="1" xfId="0" applyNumberFormat="1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vertical="center"/>
    </xf>
    <xf numFmtId="1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1" fontId="9" fillId="2" borderId="1" xfId="0" applyNumberFormat="1" applyFont="1" applyFill="1" applyBorder="1" applyAlignment="1">
      <alignment vertical="center"/>
    </xf>
    <xf numFmtId="1" fontId="16" fillId="2" borderId="1" xfId="0" applyNumberFormat="1" applyFont="1" applyFill="1" applyBorder="1"/>
    <xf numFmtId="2" fontId="10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8" fontId="0" fillId="0" borderId="0" xfId="5" applyNumberFormat="1" applyFont="1" applyBorder="1"/>
    <xf numFmtId="0" fontId="17" fillId="4" borderId="1" xfId="0" applyFont="1" applyFill="1" applyBorder="1" applyAlignment="1">
      <alignment horizontal="center"/>
    </xf>
    <xf numFmtId="1" fontId="7" fillId="3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left" vertical="center"/>
    </xf>
    <xf numFmtId="168" fontId="1" fillId="0" borderId="1" xfId="5" applyNumberFormat="1" applyFont="1" applyBorder="1"/>
    <xf numFmtId="0" fontId="1" fillId="4" borderId="1" xfId="0" applyFont="1" applyFill="1" applyBorder="1" applyAlignment="1">
      <alignment horizontal="center"/>
    </xf>
    <xf numFmtId="167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7" fontId="1" fillId="5" borderId="1" xfId="0" applyNumberFormat="1" applyFont="1" applyFill="1" applyBorder="1" applyAlignment="1">
      <alignment horizontal="center"/>
    </xf>
    <xf numFmtId="2" fontId="7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3" fontId="7" fillId="0" borderId="1" xfId="5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/>
    </xf>
    <xf numFmtId="165" fontId="8" fillId="6" borderId="1" xfId="0" applyNumberFormat="1" applyFont="1" applyFill="1" applyBorder="1" applyAlignment="1">
      <alignment horizontal="center" vertical="center"/>
    </xf>
    <xf numFmtId="10" fontId="8" fillId="6" borderId="1" xfId="4" applyNumberFormat="1" applyFont="1" applyFill="1" applyBorder="1" applyAlignment="1">
      <alignment horizontal="center" vertical="center"/>
    </xf>
    <xf numFmtId="168" fontId="0" fillId="6" borderId="1" xfId="5" applyNumberFormat="1" applyFont="1" applyFill="1" applyBorder="1"/>
    <xf numFmtId="43" fontId="17" fillId="0" borderId="1" xfId="5" applyFont="1" applyFill="1" applyBorder="1"/>
    <xf numFmtId="0" fontId="0" fillId="0" borderId="0" xfId="0" applyFill="1"/>
    <xf numFmtId="0" fontId="1" fillId="0" borderId="1" xfId="0" applyFont="1" applyFill="1" applyBorder="1" applyAlignment="1">
      <alignment horizontal="right"/>
    </xf>
    <xf numFmtId="10" fontId="6" fillId="0" borderId="0" xfId="0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7" fontId="0" fillId="6" borderId="1" xfId="0" applyNumberFormat="1" applyFill="1" applyBorder="1" applyAlignment="1">
      <alignment horizont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2" fontId="6" fillId="6" borderId="1" xfId="0" applyNumberFormat="1" applyFont="1" applyFill="1" applyBorder="1" applyAlignment="1">
      <alignment horizontal="left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43" fontId="6" fillId="6" borderId="1" xfId="5" applyFont="1" applyFill="1" applyBorder="1" applyAlignment="1">
      <alignment horizontal="center" vertical="center"/>
    </xf>
    <xf numFmtId="43" fontId="8" fillId="6" borderId="1" xfId="5" applyFont="1" applyFill="1" applyBorder="1" applyAlignment="1">
      <alignment horizontal="center" vertical="center"/>
    </xf>
    <xf numFmtId="43" fontId="10" fillId="6" borderId="1" xfId="5" applyFont="1" applyFill="1" applyBorder="1" applyAlignment="1">
      <alignment horizontal="center" vertical="center"/>
    </xf>
    <xf numFmtId="43" fontId="15" fillId="6" borderId="1" xfId="5" applyFont="1" applyFill="1" applyBorder="1" applyAlignment="1">
      <alignment horizontal="center" vertical="center"/>
    </xf>
    <xf numFmtId="2" fontId="6" fillId="6" borderId="1" xfId="5" applyNumberFormat="1" applyFont="1" applyFill="1" applyBorder="1" applyAlignment="1">
      <alignment horizontal="left" vertical="center" wrapText="1"/>
    </xf>
    <xf numFmtId="167" fontId="1" fillId="6" borderId="1" xfId="0" applyNumberFormat="1" applyFont="1" applyFill="1" applyBorder="1" applyAlignment="1">
      <alignment horizontal="center"/>
    </xf>
    <xf numFmtId="43" fontId="0" fillId="0" borderId="0" xfId="0" applyNumberFormat="1"/>
    <xf numFmtId="165" fontId="6" fillId="0" borderId="0" xfId="0" applyNumberFormat="1" applyFont="1"/>
    <xf numFmtId="43" fontId="6" fillId="0" borderId="0" xfId="0" applyNumberFormat="1" applyFont="1" applyFill="1"/>
    <xf numFmtId="169" fontId="7" fillId="6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1" fillId="6" borderId="0" xfId="0" applyFont="1" applyFill="1"/>
    <xf numFmtId="43" fontId="1" fillId="6" borderId="0" xfId="0" applyNumberFormat="1" applyFont="1" applyFill="1"/>
    <xf numFmtId="164" fontId="1" fillId="6" borderId="0" xfId="0" applyNumberFormat="1" applyFont="1" applyFill="1"/>
    <xf numFmtId="0" fontId="6" fillId="0" borderId="1" xfId="0" applyFont="1" applyBorder="1" applyAlignment="1">
      <alignment vertical="center"/>
    </xf>
    <xf numFmtId="10" fontId="6" fillId="0" borderId="1" xfId="4" applyNumberFormat="1" applyFont="1" applyBorder="1" applyAlignment="1">
      <alignment vertical="center"/>
    </xf>
    <xf numFmtId="10" fontId="6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/>
    </xf>
    <xf numFmtId="2" fontId="6" fillId="0" borderId="1" xfId="0" applyNumberFormat="1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164" fontId="6" fillId="7" borderId="1" xfId="0" applyNumberFormat="1" applyFont="1" applyFill="1" applyBorder="1" applyAlignment="1">
      <alignment vertical="center"/>
    </xf>
    <xf numFmtId="2" fontId="6" fillId="6" borderId="3" xfId="0" applyNumberFormat="1" applyFont="1" applyFill="1" applyBorder="1" applyAlignment="1">
      <alignment horizontal="center" vertical="center" wrapText="1"/>
    </xf>
    <xf numFmtId="170" fontId="17" fillId="0" borderId="1" xfId="5" applyNumberFormat="1" applyFont="1" applyFill="1" applyBorder="1"/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4" fontId="6" fillId="7" borderId="5" xfId="0" applyNumberFormat="1" applyFont="1" applyFill="1" applyBorder="1" applyAlignment="1">
      <alignment horizontal="center" vertical="center"/>
    </xf>
    <xf numFmtId="164" fontId="6" fillId="7" borderId="6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6">
    <cellStyle name="Comma" xfId="5" builtinId="3"/>
    <cellStyle name="Normal" xfId="0" builtinId="0"/>
    <cellStyle name="Normal 2" xfId="1"/>
    <cellStyle name="Normal 2 2" xfId="3"/>
    <cellStyle name="Normal 3" xfId="2"/>
    <cellStyle name="Percent" xfId="4" builtinId="5"/>
  </cellStyles>
  <dxfs count="0"/>
  <tableStyles count="0" defaultTableStyle="TableStyleMedium2" defaultPivotStyle="PivotStyleLight16"/>
  <colors>
    <mruColors>
      <color rgb="FFFF3300"/>
      <color rgb="FFFFFF99"/>
      <color rgb="FFFFFFCC"/>
      <color rgb="FFFFFF0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pmgindia365-my.sharepoint.com/personal/arunmajhi1_kpmg_com/Documents/0.%20My%20KPMG%20Projects/35.%20Telangana%20Power%20Utilities/AS%20model/H2%20of%20FY26/for%20sharing%20with%20RAC/Input%20Files/FC%20VC%202024-2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CER%20DATA/AS%20for%20H2%20of%20FY%202025-26/Data%20to%20be%20submitted%20to%20the%20commission/SPDCL%20OA%20Demand%20charg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pmgindia365-my.sharepoint.com/personal/arunmajhi1_kpmg_com/Documents/0.%20My%20KPMG%20Projects/35.%20Telangana%20Power%20Utilities/AS%20model/H2%20of%20FY26/for%20sharing%20with%20RAC/FC%20VC%202024-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898cfa26-19a1-4156-a309-62fb3b6e78c3_Final%20models%20Discom%20wise%20losses.zip.8c3/Oct'24_01.10.24-ref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898cfa26-19a1-4156-a309-62fb3b6e78c3_Final%20models%20Discom%20wise%20losses.zip.8c3/Nov'24_01.11.24-ref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898cfa26-19a1-4156-a309-62fb3b6e78c3_Final%20models%20Discom%20wise%20losses.zip.8c3/Dec'24_01.12.24_ref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898cfa26-19a1-4156-a309-62fb3b6e78c3_Final%20models%20Discom%20wise%20losses.zip.8c3/Jan'25_01.01.25-ref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898cfa26-19a1-4156-a309-62fb3b6e78c3_Final%20models%20Discom%20wise%20losses.zip.8c3/Feb'25_01.02.25_ref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vyakalavakuri/AppData/Local/Microsoft/Windows/INetCache/Content.Outlook/K9QR0RJD/Mar'25_01.03.25_ref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pmgindia365-my.sharepoint.com/personal/arunmajhi1_kpmg_com/Documents/0.%20My%20KPMG%20Projects/35.%20Telangana%20Power%20Utilities/AS%20model/H2%20of%20FY26/Input%20Files/OA%20Sales%20for%20FY%202024-25%20(H2)%20-%20SPDC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-25"/>
      <sheetName val="Sheet1"/>
      <sheetName val="For FSA "/>
      <sheetName val="Intra &amp; Inter State 24-25"/>
      <sheetName val="STOA 24-25"/>
      <sheetName val="NCEs NP 24-25"/>
      <sheetName val="NCEs SP 24-25"/>
      <sheetName val="Pushp"/>
      <sheetName val="YTPS"/>
    </sheetNames>
    <sheetDataSet>
      <sheetData sheetId="0">
        <row r="5">
          <cell r="CA5">
            <v>0</v>
          </cell>
        </row>
        <row r="6">
          <cell r="CA6">
            <v>0</v>
          </cell>
        </row>
        <row r="7">
          <cell r="CA7">
            <v>0</v>
          </cell>
        </row>
        <row r="8">
          <cell r="CA8">
            <v>-20.175099199999998</v>
          </cell>
        </row>
        <row r="9">
          <cell r="CA9">
            <v>-34.832917858203409</v>
          </cell>
        </row>
        <row r="10">
          <cell r="CA10">
            <v>58.061340079999994</v>
          </cell>
        </row>
        <row r="11">
          <cell r="CA11">
            <v>1.3991998794999998</v>
          </cell>
        </row>
        <row r="12">
          <cell r="CA12">
            <v>0.84904245562900604</v>
          </cell>
        </row>
        <row r="13">
          <cell r="CA13">
            <v>-4.6917562012756915E-5</v>
          </cell>
        </row>
        <row r="14">
          <cell r="CA14">
            <v>90.998966953295536</v>
          </cell>
        </row>
        <row r="15">
          <cell r="CA15">
            <v>25.167653300000001</v>
          </cell>
        </row>
        <row r="16">
          <cell r="CA16">
            <v>206.0230335</v>
          </cell>
        </row>
        <row r="17">
          <cell r="CA17">
            <v>141.5617201</v>
          </cell>
        </row>
        <row r="18">
          <cell r="CA18">
            <v>53.250212883810711</v>
          </cell>
        </row>
        <row r="19">
          <cell r="CA19">
            <v>146.01769379999999</v>
          </cell>
        </row>
        <row r="20">
          <cell r="CA20">
            <v>777.0731121</v>
          </cell>
        </row>
        <row r="21">
          <cell r="CA21">
            <v>66.602274699999995</v>
          </cell>
        </row>
        <row r="22">
          <cell r="CA22">
            <v>367.47766875299999</v>
          </cell>
        </row>
        <row r="25">
          <cell r="CA25">
            <v>0</v>
          </cell>
        </row>
        <row r="26">
          <cell r="CA26">
            <v>153.0424696</v>
          </cell>
        </row>
        <row r="29">
          <cell r="CA29">
            <v>0</v>
          </cell>
        </row>
        <row r="30">
          <cell r="CA30">
            <v>0</v>
          </cell>
        </row>
        <row r="31">
          <cell r="CA31">
            <v>0</v>
          </cell>
        </row>
        <row r="32">
          <cell r="CA32">
            <v>0</v>
          </cell>
        </row>
        <row r="33">
          <cell r="CA33">
            <v>153.7224894</v>
          </cell>
        </row>
        <row r="34">
          <cell r="CA34">
            <v>91.729999800000002</v>
          </cell>
        </row>
        <row r="35">
          <cell r="CA35">
            <v>533.09499989999995</v>
          </cell>
        </row>
        <row r="36">
          <cell r="CA36">
            <v>-0.76534449999999998</v>
          </cell>
        </row>
        <row r="37">
          <cell r="CA37">
            <v>186.43293510000001</v>
          </cell>
        </row>
        <row r="38">
          <cell r="CA38">
            <v>174.9764893</v>
          </cell>
        </row>
        <row r="39">
          <cell r="CA39">
            <v>396.55169289999998</v>
          </cell>
        </row>
        <row r="40">
          <cell r="CA40">
            <v>55.027591700000002</v>
          </cell>
        </row>
        <row r="41">
          <cell r="CA41">
            <v>783.69</v>
          </cell>
        </row>
        <row r="42">
          <cell r="CA42">
            <v>408.18249933333334</v>
          </cell>
        </row>
        <row r="43">
          <cell r="CA43">
            <v>-0.68999946666666789</v>
          </cell>
        </row>
        <row r="45">
          <cell r="CA45">
            <v>739.83759239999995</v>
          </cell>
        </row>
        <row r="46">
          <cell r="CA46">
            <v>0</v>
          </cell>
        </row>
        <row r="47">
          <cell r="CA47">
            <v>997.95854859999997</v>
          </cell>
        </row>
        <row r="48">
          <cell r="CA48">
            <v>3.3625831000000002</v>
          </cell>
        </row>
        <row r="49">
          <cell r="CA49">
            <v>0</v>
          </cell>
        </row>
        <row r="51">
          <cell r="CA51">
            <v>2.980866596118235</v>
          </cell>
        </row>
        <row r="52">
          <cell r="CA52">
            <v>479.41211390000001</v>
          </cell>
        </row>
        <row r="53">
          <cell r="CA53">
            <v>1137.4449101</v>
          </cell>
        </row>
        <row r="54">
          <cell r="CA54">
            <v>7.7650797999999996</v>
          </cell>
        </row>
        <row r="55">
          <cell r="CA55">
            <v>18.4594913</v>
          </cell>
        </row>
      </sheetData>
      <sheetData sheetId="1">
        <row r="9">
          <cell r="C9">
            <v>285.35528999999997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Export Worksheet (3)"/>
    </sheetNames>
    <sheetDataSet>
      <sheetData sheetId="0">
        <row r="1225">
          <cell r="AR1225">
            <v>1651476577.7849002</v>
          </cell>
          <cell r="AS1225">
            <v>1988133652.6355002</v>
          </cell>
        </row>
        <row r="1227">
          <cell r="AR1227">
            <v>242.046831</v>
          </cell>
          <cell r="AS1227">
            <v>48.190018000000002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24-25"/>
      <sheetName val="Sheet1"/>
      <sheetName val="For FSA "/>
      <sheetName val="Intra &amp; Inter State 24-25"/>
      <sheetName val="STOA 24-25"/>
      <sheetName val="NCEs NP 24-25"/>
      <sheetName val="NCEs SP 24-25"/>
      <sheetName val="Pushp"/>
      <sheetName val="YTPS"/>
    </sheetNames>
    <sheetDataSet>
      <sheetData sheetId="0">
        <row r="63">
          <cell r="BU63">
            <v>56177734656.961182</v>
          </cell>
        </row>
        <row r="127">
          <cell r="BZ127">
            <v>32623.831862980664</v>
          </cell>
        </row>
        <row r="190">
          <cell r="BZ190">
            <v>13621.840361649705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  <sheetName val="OA plot"/>
    </sheetNames>
    <sheetDataSet>
      <sheetData sheetId="0"/>
      <sheetData sheetId="1">
        <row r="25">
          <cell r="CU25">
            <v>32116312.241883762</v>
          </cell>
        </row>
        <row r="53">
          <cell r="CU53">
            <v>25986713.68268374</v>
          </cell>
        </row>
        <row r="55">
          <cell r="CU55">
            <v>6129598.5592</v>
          </cell>
        </row>
        <row r="56">
          <cell r="CU56">
            <v>2768067.4000000008</v>
          </cell>
        </row>
        <row r="57">
          <cell r="CU57">
            <v>3837055.7584000011</v>
          </cell>
        </row>
        <row r="96">
          <cell r="CU96">
            <v>840994.49488178035</v>
          </cell>
        </row>
        <row r="99">
          <cell r="CU99">
            <v>702748.96574061259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OA plot"/>
    </sheetNames>
    <sheetDataSet>
      <sheetData sheetId="0"/>
      <sheetData sheetId="1">
        <row r="25">
          <cell r="CU25">
            <v>26488692.027721427</v>
          </cell>
        </row>
        <row r="53">
          <cell r="CU53">
            <v>19835321.026441433</v>
          </cell>
        </row>
        <row r="55">
          <cell r="CU55">
            <v>6653371.0012799995</v>
          </cell>
        </row>
        <row r="56">
          <cell r="CU56">
            <v>4198571.8499999996</v>
          </cell>
        </row>
        <row r="57">
          <cell r="CU57">
            <v>2983295.7018799996</v>
          </cell>
        </row>
        <row r="96">
          <cell r="CU96">
            <v>851785.152018836</v>
          </cell>
        </row>
        <row r="99">
          <cell r="CU99">
            <v>657107.7548621929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  <sheetName val="OA plot"/>
    </sheetNames>
    <sheetDataSet>
      <sheetData sheetId="0"/>
      <sheetData sheetId="1">
        <row r="25">
          <cell r="CU25">
            <v>24957939.871027343</v>
          </cell>
        </row>
        <row r="53">
          <cell r="CU53">
            <v>19175968.617540121</v>
          </cell>
        </row>
        <row r="55">
          <cell r="CU55">
            <v>5781971.2534872266</v>
          </cell>
        </row>
        <row r="56">
          <cell r="CU56">
            <v>11344464.490000002</v>
          </cell>
        </row>
        <row r="57">
          <cell r="CU57">
            <v>151318.31051199994</v>
          </cell>
        </row>
        <row r="96">
          <cell r="CU96">
            <v>791868.71012790082</v>
          </cell>
        </row>
        <row r="99">
          <cell r="CU99">
            <v>88289.2667581391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  <sheetName val="OA plot"/>
    </sheetNames>
    <sheetDataSet>
      <sheetData sheetId="0"/>
      <sheetData sheetId="1">
        <row r="25">
          <cell r="CU25">
            <v>28191941.655190185</v>
          </cell>
        </row>
        <row r="53">
          <cell r="CU53">
            <v>22846514.794622183</v>
          </cell>
        </row>
        <row r="55">
          <cell r="CU55">
            <v>5345426.860568</v>
          </cell>
        </row>
        <row r="56">
          <cell r="CU56">
            <v>10366297.170000002</v>
          </cell>
        </row>
        <row r="57">
          <cell r="CU57">
            <v>409179.42135900015</v>
          </cell>
        </row>
        <row r="96">
          <cell r="CU96">
            <v>756246.44370068156</v>
          </cell>
        </row>
        <row r="99">
          <cell r="CU99">
            <v>110202.65038948953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OA plot"/>
    </sheetNames>
    <sheetDataSet>
      <sheetData sheetId="0"/>
      <sheetData sheetId="1">
        <row r="25">
          <cell r="CU25">
            <v>26402985.681138225</v>
          </cell>
        </row>
        <row r="53">
          <cell r="CU53">
            <v>23574635.435938213</v>
          </cell>
        </row>
        <row r="55">
          <cell r="CU55">
            <v>2828350.2452000002</v>
          </cell>
        </row>
        <row r="56">
          <cell r="CU56">
            <v>8387463.5199999996</v>
          </cell>
        </row>
        <row r="57">
          <cell r="CU57">
            <v>91884.939600000071</v>
          </cell>
        </row>
        <row r="96">
          <cell r="CU96">
            <v>682768.01396189083</v>
          </cell>
        </row>
        <row r="99">
          <cell r="CU99">
            <v>29313.479116201172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  <sheetName val="OA plot"/>
    </sheetNames>
    <sheetDataSet>
      <sheetData sheetId="0"/>
      <sheetData sheetId="1">
        <row r="25">
          <cell r="CU25">
            <v>30150081.825181294</v>
          </cell>
        </row>
        <row r="53">
          <cell r="CU53">
            <v>27262181.92517329</v>
          </cell>
        </row>
        <row r="55">
          <cell r="CU55">
            <v>2887899.9000080009</v>
          </cell>
        </row>
        <row r="56">
          <cell r="CU56">
            <v>8152837.0500000007</v>
          </cell>
        </row>
        <row r="57">
          <cell r="CU57">
            <v>137570.67224000001</v>
          </cell>
        </row>
        <row r="96">
          <cell r="CU96">
            <v>826113.28056425694</v>
          </cell>
        </row>
        <row r="99">
          <cell r="CU99">
            <v>37617.929076688175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Export Worksheet (2)"/>
      <sheetName val="2024-25 (H2) -Prov."/>
      <sheetName val="2024-25 (H2) -Final"/>
    </sheetNames>
    <sheetDataSet>
      <sheetData sheetId="0" refreshError="1"/>
      <sheetData sheetId="1" refreshError="1"/>
      <sheetData sheetId="2">
        <row r="35">
          <cell r="T35">
            <v>254.72438299999999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Anand, Adarsh" id="{CE602F77-A8AD-45B0-8830-3C08C03FAF76}" userId="S::adarshanand@kpmg.com::831fdf94-7d87-4340-ab6b-a9ff45610129" providerId="AD"/>
  <person displayName="Kalavakuri, Divya" id="{32A62A80-16E1-4836-9A4C-120FEB0628A4}" userId="S::divyakalavakuri@kpmg.com::ec7a7d6e-0912-4556-a62f-3fda5ca11c8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4" dT="2025-05-28T13:05:16.42" personId="{32A62A80-16E1-4836-9A4C-120FEB0628A4}" id="{50D28E00-19E2-4752-B590-78F9838427FE}">
    <text>Considered approved values from latest tariff order</text>
  </threadedComment>
  <threadedComment ref="G20" dT="2024-11-14T09:26:27.33" personId="{CE602F77-A8AD-45B0-8830-3C08C03FAF76}" id="{47FF025E-D1AB-4C45-9B55-D8C0064E6270}">
    <text>FY24-25 RST Order 1.pdf Page 315</text>
    <extLst>
      <x:ext xmlns:xltc2="http://schemas.microsoft.com/office/spreadsheetml/2020/threadedcomments2" uri="{F7C98A9C-CBB3-438F-8F68-D28B6AF4A901}">
        <xltc2:checksum>3571880854</xltc2:checksum>
        <xltc2:hyperlink startIndex="0" length="23" url="https://kpmgindia365-my.sharepoint.com/:b:/g/personal/arunmajhi1_kpmg_com/EfQ7DS49t7xIvtWE1akXTQoBJ4p5XdWIbETBRkqWf77tIg?e=jiJwIt"/>
      </x:ext>
    </extLs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7" dT="2025-05-24T12:59:40.19" personId="{32A62A80-16E1-4836-9A4C-120FEB0628A4}" id="{C080F660-F537-47D0-A522-3DC877E6C0AB}">
    <text>Total FC from TGPCC (For year) - Fixed cost approved in H1 AS order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1" dT="2024-11-14T09:56:49.74" personId="{CE602F77-A8AD-45B0-8830-3C08C03FAF76}" id="{8F98F7B6-4995-46FF-A312-67CCAE98791F}">
    <text>FY25-29 Final Wheeling MYT.pdf Page 74</text>
    <extLst>
      <x:ext xmlns:xltc2="http://schemas.microsoft.com/office/spreadsheetml/2020/threadedcomments2" uri="{F7C98A9C-CBB3-438F-8F68-D28B6AF4A901}">
        <xltc2:checksum>3135848093</xltc2:checksum>
        <xltc2:hyperlink startIndex="0" length="30" url="https://kpmgindia365-my.sharepoint.com/:b:/g/personal/arunmajhi1_kpmg_com/EVCwYLWMV4RAkRnp3zD7VBsBfdL13KHCu4tG6BGTnGx1Yw?e=tUWOwW"/>
      </x:ext>
    </extLst>
  </threadedComment>
  <threadedComment ref="H1" dT="2025-05-15T11:11:16.61" personId="{32A62A80-16E1-4836-9A4C-120FEB0628A4}" id="{6C1B2E4B-AFDD-4738-9A8A-9B947404127C}">
    <text>FY24-25 Final Wheeling MYT.pdf  page 67/84</text>
    <extLst>
      <x:ext xmlns:xltc2="http://schemas.microsoft.com/office/spreadsheetml/2020/threadedcomments2" uri="{F7C98A9C-CBB3-438F-8F68-D28B6AF4A901}">
        <xltc2:checksum>4027740646</xltc2:checksum>
        <xltc2:hyperlink startIndex="0" length="30" url="file:///C:/Users/divyakalavakuri/Downloads/FY24-25%20Final%20Wheeling%20MYT.pdf"/>
      </x:ext>
    </extLst>
  </threadedComment>
  <threadedComment ref="E4" dT="2025-05-08T09:16:04.57" personId="{32A62A80-16E1-4836-9A4C-120FEB0628A4}" id="{9A9EAA10-6FE6-43FD-B85A-A90CA3667428}">
    <text xml:space="preserve">Page 64- contracted capacity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70C0"/>
    <pageSetUpPr fitToPage="1"/>
  </sheetPr>
  <dimension ref="B2:V61"/>
  <sheetViews>
    <sheetView showGridLines="0" tabSelected="1" topLeftCell="F1" zoomScale="71" zoomScaleNormal="80" workbookViewId="0">
      <selection activeCell="L27" sqref="L27"/>
    </sheetView>
  </sheetViews>
  <sheetFormatPr defaultColWidth="9.140625" defaultRowHeight="15.75"/>
  <cols>
    <col min="1" max="1" width="9.140625" style="29"/>
    <col min="2" max="2" width="52" style="29" bestFit="1" customWidth="1"/>
    <col min="3" max="3" width="37.140625" style="29" customWidth="1"/>
    <col min="4" max="4" width="24.85546875" style="29" customWidth="1"/>
    <col min="5" max="5" width="24.85546875" style="34" customWidth="1"/>
    <col min="6" max="6" width="23.85546875" style="34" customWidth="1"/>
    <col min="7" max="7" width="80" style="29" customWidth="1"/>
    <col min="8" max="9" width="20.85546875" style="34" customWidth="1"/>
    <col min="10" max="10" width="26.85546875" style="34" customWidth="1"/>
    <col min="11" max="11" width="28" style="34" customWidth="1"/>
    <col min="12" max="12" width="28.7109375" style="34" customWidth="1"/>
    <col min="13" max="13" width="33.7109375" style="29" bestFit="1" customWidth="1"/>
    <col min="14" max="14" width="27.28515625" style="29" bestFit="1" customWidth="1"/>
    <col min="15" max="16" width="13.85546875" style="29" customWidth="1"/>
    <col min="17" max="17" width="12" style="29" customWidth="1"/>
    <col min="18" max="18" width="13.28515625" style="29" customWidth="1"/>
    <col min="19" max="20" width="12.42578125" style="29" customWidth="1"/>
    <col min="21" max="22" width="12.42578125" style="33" customWidth="1"/>
    <col min="23" max="24" width="14.140625" style="29" customWidth="1"/>
    <col min="25" max="25" width="11" style="29" bestFit="1" customWidth="1"/>
    <col min="26" max="16384" width="9.140625" style="29"/>
  </cols>
  <sheetData>
    <row r="2" spans="2:16">
      <c r="B2" s="30" t="s">
        <v>144</v>
      </c>
      <c r="D2" s="31"/>
      <c r="E2" s="32"/>
      <c r="F2" s="29"/>
      <c r="H2" s="29"/>
      <c r="I2" s="29"/>
      <c r="J2" s="29"/>
      <c r="K2" s="29"/>
      <c r="L2" s="29"/>
    </row>
    <row r="3" spans="2:16">
      <c r="D3" s="31"/>
      <c r="E3" s="32"/>
      <c r="F3" s="29"/>
      <c r="H3" s="29"/>
      <c r="I3" s="29"/>
      <c r="J3" s="29"/>
      <c r="K3" s="29"/>
      <c r="L3" s="29"/>
    </row>
    <row r="4" spans="2:16" ht="31.5">
      <c r="B4" s="52" t="s">
        <v>89</v>
      </c>
      <c r="C4" s="52" t="s">
        <v>181</v>
      </c>
      <c r="D4" s="31"/>
      <c r="E4" s="32"/>
      <c r="G4" s="146" t="s">
        <v>130</v>
      </c>
      <c r="H4" s="146"/>
      <c r="I4" s="146"/>
      <c r="J4" s="146"/>
      <c r="M4" s="136" t="s">
        <v>187</v>
      </c>
      <c r="N4" s="136" t="s">
        <v>155</v>
      </c>
      <c r="O4" s="136" t="s">
        <v>156</v>
      </c>
    </row>
    <row r="5" spans="2:16" ht="31.5">
      <c r="B5" s="62" t="s">
        <v>57</v>
      </c>
      <c r="C5" s="63"/>
      <c r="D5" s="31"/>
      <c r="E5" s="32"/>
      <c r="F5" s="29"/>
      <c r="G5" s="85" t="s">
        <v>174</v>
      </c>
      <c r="H5" s="86" t="s">
        <v>121</v>
      </c>
      <c r="I5" s="86" t="s">
        <v>145</v>
      </c>
      <c r="J5" s="102">
        <f>(4213.8+1.21+2822.5+6+475.93+326.93)/2</f>
        <v>3923.1850000000004</v>
      </c>
      <c r="K5" s="16"/>
      <c r="L5" s="29"/>
      <c r="M5" s="14" t="s">
        <v>185</v>
      </c>
      <c r="N5" s="137">
        <f>4.65/100</f>
        <v>4.6500000000000007E-2</v>
      </c>
      <c r="O5" s="137">
        <f>4.65/100</f>
        <v>4.6500000000000007E-2</v>
      </c>
      <c r="P5" s="138"/>
    </row>
    <row r="6" spans="2:16" ht="16.5" customHeight="1">
      <c r="B6" s="64" t="s">
        <v>58</v>
      </c>
      <c r="C6" s="65">
        <f>'[1]2024-25'!$CA5</f>
        <v>0</v>
      </c>
      <c r="D6" s="31"/>
      <c r="E6" s="32"/>
      <c r="G6" s="87" t="s">
        <v>194</v>
      </c>
      <c r="H6" s="88" t="s">
        <v>122</v>
      </c>
      <c r="I6" s="88" t="s">
        <v>21</v>
      </c>
      <c r="J6" s="144">
        <f>N11</f>
        <v>40032.322084253115</v>
      </c>
      <c r="M6" s="14">
        <v>11</v>
      </c>
      <c r="N6" s="137">
        <f>4.04/100</f>
        <v>4.0399999999999998E-2</v>
      </c>
      <c r="O6" s="137">
        <f>3.71/100</f>
        <v>3.7100000000000001E-2</v>
      </c>
    </row>
    <row r="7" spans="2:16">
      <c r="B7" s="64" t="s">
        <v>59</v>
      </c>
      <c r="C7" s="65">
        <f>'[1]2024-25'!$CA6</f>
        <v>0</v>
      </c>
      <c r="D7" s="31"/>
      <c r="E7" s="32"/>
      <c r="F7" s="32"/>
      <c r="G7" s="90" t="s">
        <v>123</v>
      </c>
      <c r="H7" s="91" t="s">
        <v>124</v>
      </c>
      <c r="I7" s="91" t="s">
        <v>146</v>
      </c>
      <c r="J7" s="102">
        <f>J5/J6*10</f>
        <v>0.9800043554163953</v>
      </c>
      <c r="K7" s="17"/>
      <c r="L7" s="32"/>
      <c r="M7" s="14">
        <v>33</v>
      </c>
      <c r="N7" s="137">
        <f>3.16/100</f>
        <v>3.1600000000000003E-2</v>
      </c>
      <c r="O7" s="137">
        <f>2.97/100</f>
        <v>2.9700000000000001E-2</v>
      </c>
    </row>
    <row r="8" spans="2:16" ht="31.5">
      <c r="B8" s="64" t="s">
        <v>60</v>
      </c>
      <c r="C8" s="65">
        <f>'[1]2024-25'!$CA7</f>
        <v>0</v>
      </c>
      <c r="D8" s="31"/>
      <c r="E8" s="32"/>
      <c r="F8" s="32"/>
      <c r="G8" s="85" t="s">
        <v>175</v>
      </c>
      <c r="H8" s="91" t="s">
        <v>125</v>
      </c>
      <c r="I8" s="91" t="s">
        <v>145</v>
      </c>
      <c r="J8" s="101">
        <f>'Distribution Charges'!H13</f>
        <v>1054.0300000000002</v>
      </c>
      <c r="K8" s="18"/>
      <c r="L8" s="32"/>
      <c r="M8" s="12" t="s">
        <v>186</v>
      </c>
      <c r="N8" s="137">
        <f>2.46/100</f>
        <v>2.46E-2</v>
      </c>
      <c r="O8" s="137">
        <f>2.46/100</f>
        <v>2.46E-2</v>
      </c>
    </row>
    <row r="9" spans="2:16" ht="47.25">
      <c r="B9" s="64" t="s">
        <v>61</v>
      </c>
      <c r="C9" s="65">
        <f>'[1]2024-25'!$CA8</f>
        <v>-20.175099199999998</v>
      </c>
      <c r="E9" s="32"/>
      <c r="F9" s="32"/>
      <c r="G9" s="85" t="s">
        <v>126</v>
      </c>
      <c r="H9" s="91" t="s">
        <v>127</v>
      </c>
      <c r="I9" s="91" t="s">
        <v>147</v>
      </c>
      <c r="J9" s="103">
        <f>0.5*J8/J5</f>
        <v>0.13433345610772882</v>
      </c>
      <c r="K9" s="19"/>
      <c r="L9" s="32"/>
      <c r="M9" s="139" t="s">
        <v>189</v>
      </c>
      <c r="N9" s="140">
        <f>'[2]2024-25'!$BZ$127</f>
        <v>32623.831862980664</v>
      </c>
      <c r="O9" s="141">
        <f>'[2]2024-25'!$BZ$190</f>
        <v>13621.840361649705</v>
      </c>
    </row>
    <row r="10" spans="2:16" ht="31.5">
      <c r="B10" s="64" t="s">
        <v>62</v>
      </c>
      <c r="C10" s="65">
        <f>'[1]2024-25'!$CA9</f>
        <v>-34.832917858203409</v>
      </c>
      <c r="E10" s="32"/>
      <c r="F10" s="36"/>
      <c r="G10" s="94" t="s">
        <v>128</v>
      </c>
      <c r="H10" s="95" t="s">
        <v>129</v>
      </c>
      <c r="I10" s="91" t="s">
        <v>146</v>
      </c>
      <c r="J10" s="128">
        <f>J7*J9</f>
        <v>0.13164737206371141</v>
      </c>
      <c r="K10" s="20"/>
      <c r="L10" s="36"/>
      <c r="M10" s="136" t="s">
        <v>188</v>
      </c>
      <c r="N10" s="143">
        <f>N9*((1-N8)*(1-N7)*(1-N6)*(1-N5))</f>
        <v>28195.736214723966</v>
      </c>
      <c r="O10" s="143">
        <f>O9*((1-O8)*(1-O7)*(1-O6)*(1-O5))</f>
        <v>11836.58586952915</v>
      </c>
    </row>
    <row r="11" spans="2:16">
      <c r="B11" s="64" t="s">
        <v>96</v>
      </c>
      <c r="C11" s="65">
        <f>'[1]2024-25'!$CA10</f>
        <v>58.061340079999994</v>
      </c>
      <c r="D11" s="31"/>
      <c r="E11" s="32"/>
      <c r="M11" s="142" t="s">
        <v>95</v>
      </c>
      <c r="N11" s="148">
        <f>SUM(N10:O10)</f>
        <v>40032.322084253115</v>
      </c>
      <c r="O11" s="149"/>
    </row>
    <row r="12" spans="2:16">
      <c r="B12" s="64" t="s">
        <v>114</v>
      </c>
      <c r="C12" s="65">
        <f>'[1]2024-25'!$CA11</f>
        <v>1.3991998794999998</v>
      </c>
      <c r="D12" s="31"/>
      <c r="E12" s="32"/>
    </row>
    <row r="13" spans="2:16">
      <c r="B13" s="64" t="s">
        <v>115</v>
      </c>
      <c r="C13" s="65">
        <f>'[1]2024-25'!$CA12</f>
        <v>0.84904245562900604</v>
      </c>
      <c r="D13" s="31"/>
      <c r="E13" s="32"/>
      <c r="F13" s="147" t="s">
        <v>131</v>
      </c>
      <c r="G13" s="147"/>
      <c r="H13" s="147"/>
      <c r="I13" s="147"/>
      <c r="J13" s="147"/>
    </row>
    <row r="14" spans="2:16">
      <c r="B14" s="64" t="s">
        <v>149</v>
      </c>
      <c r="C14" s="65">
        <f>'[1]2024-25'!$CA13</f>
        <v>-4.6917562012756915E-5</v>
      </c>
      <c r="D14" s="31"/>
      <c r="E14" s="32"/>
      <c r="F14" s="85" t="s">
        <v>132</v>
      </c>
      <c r="G14" s="86" t="s">
        <v>134</v>
      </c>
      <c r="H14" s="86"/>
      <c r="I14" s="86" t="s">
        <v>145</v>
      </c>
      <c r="J14" s="117">
        <f>'Servicewise Inf. SP+NP'!D8</f>
        <v>247.00338326355001</v>
      </c>
      <c r="K14" s="37"/>
    </row>
    <row r="15" spans="2:16" ht="31.5">
      <c r="B15" s="64" t="s">
        <v>63</v>
      </c>
      <c r="C15" s="65">
        <f>'[1]2024-25'!$CA14</f>
        <v>90.998966953295536</v>
      </c>
      <c r="D15" s="31"/>
      <c r="E15" s="32"/>
      <c r="F15" s="87" t="s">
        <v>166</v>
      </c>
      <c r="G15" s="88" t="s">
        <v>135</v>
      </c>
      <c r="H15" s="112">
        <f>H23/H24</f>
        <v>0.28975698226589502</v>
      </c>
      <c r="I15" s="89" t="s">
        <v>145</v>
      </c>
      <c r="J15" s="117">
        <f>J14*H15</f>
        <v>71.570954943912525</v>
      </c>
      <c r="K15" s="38"/>
    </row>
    <row r="16" spans="2:16">
      <c r="B16" s="64" t="s">
        <v>64</v>
      </c>
      <c r="C16" s="65">
        <f>'[1]2024-25'!$CA15</f>
        <v>25.167653300000001</v>
      </c>
      <c r="D16" s="31"/>
      <c r="E16" s="32"/>
      <c r="F16" s="90" t="s">
        <v>190</v>
      </c>
      <c r="G16" s="91" t="s">
        <v>136</v>
      </c>
      <c r="H16" s="113">
        <f>(1-J9)</f>
        <v>0.86566654389227116</v>
      </c>
      <c r="I16" s="92" t="s">
        <v>145</v>
      </c>
      <c r="J16" s="118">
        <f>J15*(1-J9)</f>
        <v>61.956581209366213</v>
      </c>
      <c r="K16" s="108"/>
    </row>
    <row r="17" spans="2:13">
      <c r="B17" s="64" t="s">
        <v>65</v>
      </c>
      <c r="C17" s="65">
        <f>'[1]2024-25'!$CA16</f>
        <v>206.0230335</v>
      </c>
      <c r="D17" s="31"/>
      <c r="E17" s="35"/>
      <c r="F17" s="85" t="s">
        <v>133</v>
      </c>
      <c r="G17" s="91" t="s">
        <v>137</v>
      </c>
      <c r="H17" s="91"/>
      <c r="I17" s="93" t="s">
        <v>145</v>
      </c>
      <c r="J17" s="116">
        <f>J14-J16</f>
        <v>185.04680205418379</v>
      </c>
      <c r="K17" s="35"/>
      <c r="L17" s="35"/>
    </row>
    <row r="18" spans="2:13">
      <c r="B18" s="64" t="s">
        <v>66</v>
      </c>
      <c r="C18" s="65">
        <f>'[1]2024-25'!$CA17</f>
        <v>141.5617201</v>
      </c>
      <c r="D18" s="31"/>
      <c r="E18" s="39"/>
      <c r="F18" s="23"/>
    </row>
    <row r="19" spans="2:13">
      <c r="B19" s="64" t="s">
        <v>67</v>
      </c>
      <c r="C19" s="65">
        <f>'[1]2024-25'!$CA18</f>
        <v>53.250212883810711</v>
      </c>
      <c r="D19" s="31"/>
      <c r="E19" s="39"/>
      <c r="F19" s="25"/>
      <c r="G19" s="32"/>
    </row>
    <row r="20" spans="2:13" ht="31.5">
      <c r="B20" s="64" t="s">
        <v>68</v>
      </c>
      <c r="C20" s="65">
        <f>'[1]2024-25'!$CA19</f>
        <v>146.01769379999999</v>
      </c>
      <c r="D20" s="31"/>
      <c r="E20" s="39"/>
      <c r="F20" s="27" t="s">
        <v>178</v>
      </c>
      <c r="G20" s="83" t="s">
        <v>160</v>
      </c>
      <c r="H20" s="84" t="s">
        <v>165</v>
      </c>
    </row>
    <row r="21" spans="2:13">
      <c r="B21" s="64" t="s">
        <v>143</v>
      </c>
      <c r="C21" s="65">
        <f>'[1]2024-25'!$CA20</f>
        <v>777.0731121</v>
      </c>
      <c r="D21" s="31"/>
      <c r="E21" s="35"/>
      <c r="F21" s="25"/>
      <c r="G21" s="85" t="s">
        <v>161</v>
      </c>
      <c r="H21" s="100">
        <v>11768.54</v>
      </c>
      <c r="J21" s="40"/>
    </row>
    <row r="22" spans="2:13" ht="15.75" customHeight="1">
      <c r="B22" s="64" t="s">
        <v>69</v>
      </c>
      <c r="C22" s="65">
        <f>'[1]2024-25'!$CA21</f>
        <v>66.602274699999995</v>
      </c>
      <c r="D22" s="31"/>
      <c r="E22" s="35"/>
      <c r="G22" s="87" t="s">
        <v>162</v>
      </c>
      <c r="H22" s="112">
        <v>5478.01</v>
      </c>
    </row>
    <row r="23" spans="2:13">
      <c r="B23" s="66" t="s">
        <v>70</v>
      </c>
      <c r="C23" s="65">
        <f>'[1]2024-25'!$CA22</f>
        <v>367.47766875299999</v>
      </c>
      <c r="D23" s="31"/>
      <c r="E23" s="41"/>
      <c r="G23" s="90" t="s">
        <v>163</v>
      </c>
      <c r="H23" s="113">
        <v>7036.05</v>
      </c>
    </row>
    <row r="24" spans="2:13">
      <c r="B24" s="77" t="s">
        <v>56</v>
      </c>
      <c r="C24" s="54">
        <f>SUM(C6:C23)</f>
        <v>1879.4738545294697</v>
      </c>
      <c r="D24" s="31"/>
      <c r="E24" s="35"/>
      <c r="G24" s="85" t="s">
        <v>164</v>
      </c>
      <c r="H24" s="113">
        <v>24282.59</v>
      </c>
    </row>
    <row r="25" spans="2:13">
      <c r="B25" s="68" t="s">
        <v>71</v>
      </c>
      <c r="C25" s="65"/>
      <c r="D25" s="31"/>
      <c r="E25" s="35"/>
    </row>
    <row r="26" spans="2:13">
      <c r="B26" s="67" t="s">
        <v>116</v>
      </c>
      <c r="C26" s="65">
        <f>'[1]2024-25'!$CA25</f>
        <v>0</v>
      </c>
      <c r="D26" s="31"/>
      <c r="E26" s="35"/>
      <c r="L26" s="25"/>
      <c r="M26" s="26"/>
    </row>
    <row r="27" spans="2:13">
      <c r="B27" s="67" t="s">
        <v>117</v>
      </c>
      <c r="C27" s="65">
        <f>'[1]2024-25'!$CA26</f>
        <v>153.0424696</v>
      </c>
      <c r="D27" s="31"/>
      <c r="E27" s="41"/>
      <c r="L27" s="25"/>
      <c r="M27" s="28"/>
    </row>
    <row r="28" spans="2:13">
      <c r="B28" s="55" t="s">
        <v>72</v>
      </c>
      <c r="C28" s="54">
        <f>SUM(C26:C27)</f>
        <v>153.0424696</v>
      </c>
      <c r="D28" s="31"/>
      <c r="E28" s="35"/>
      <c r="L28" s="25"/>
      <c r="M28" s="28"/>
    </row>
    <row r="29" spans="2:13">
      <c r="B29" s="69" t="s">
        <v>150</v>
      </c>
      <c r="C29" s="70">
        <f>'[1]2024-25'!$CA29</f>
        <v>0</v>
      </c>
      <c r="D29" s="31"/>
      <c r="E29" s="35"/>
      <c r="M29" s="28"/>
    </row>
    <row r="30" spans="2:13">
      <c r="B30" s="69" t="s">
        <v>151</v>
      </c>
      <c r="C30" s="70">
        <f>'[1]2024-25'!$CA30</f>
        <v>0</v>
      </c>
      <c r="D30" s="60"/>
      <c r="E30" s="35"/>
    </row>
    <row r="31" spans="2:13">
      <c r="B31" s="69" t="s">
        <v>152</v>
      </c>
      <c r="C31" s="70">
        <f>'[1]2024-25'!$CA31</f>
        <v>0</v>
      </c>
      <c r="D31" s="31"/>
      <c r="E31" s="35"/>
    </row>
    <row r="32" spans="2:13">
      <c r="B32" s="69" t="s">
        <v>153</v>
      </c>
      <c r="C32" s="70">
        <f>'[1]2024-25'!$CA32</f>
        <v>0</v>
      </c>
      <c r="D32" s="31"/>
      <c r="E32" s="35"/>
      <c r="G32" s="35"/>
    </row>
    <row r="33" spans="2:9">
      <c r="B33" s="64" t="s">
        <v>73</v>
      </c>
      <c r="C33" s="70">
        <f>'[1]2024-25'!$CA33</f>
        <v>153.7224894</v>
      </c>
      <c r="D33" s="31"/>
      <c r="E33" s="35"/>
      <c r="F33" s="39"/>
      <c r="G33" s="35"/>
    </row>
    <row r="34" spans="2:9">
      <c r="B34" s="64" t="s">
        <v>74</v>
      </c>
      <c r="C34" s="70">
        <f>'[1]2024-25'!$CA34</f>
        <v>91.729999800000002</v>
      </c>
      <c r="D34" s="60"/>
      <c r="E34" s="35"/>
      <c r="G34" s="35"/>
    </row>
    <row r="35" spans="2:9">
      <c r="B35" s="63" t="s">
        <v>77</v>
      </c>
      <c r="C35" s="70">
        <f>'[1]2024-25'!$CA35</f>
        <v>533.09499989999995</v>
      </c>
      <c r="D35" s="31"/>
      <c r="E35" s="35"/>
      <c r="G35" s="35"/>
    </row>
    <row r="36" spans="2:9">
      <c r="B36" s="64" t="s">
        <v>55</v>
      </c>
      <c r="C36" s="70">
        <f>'[1]2024-25'!$CA36</f>
        <v>-0.76534449999999998</v>
      </c>
      <c r="D36" s="31"/>
      <c r="E36" s="35"/>
      <c r="G36" s="35"/>
    </row>
    <row r="37" spans="2:9">
      <c r="B37" s="64" t="s">
        <v>75</v>
      </c>
      <c r="C37" s="70">
        <f>'[1]2024-25'!$CA37</f>
        <v>186.43293510000001</v>
      </c>
      <c r="D37" s="31"/>
      <c r="E37" s="35"/>
      <c r="G37" s="42"/>
    </row>
    <row r="38" spans="2:9">
      <c r="B38" s="64" t="s">
        <v>76</v>
      </c>
      <c r="C38" s="70">
        <f>'[1]2024-25'!$CA38</f>
        <v>174.9764893</v>
      </c>
      <c r="D38" s="31"/>
      <c r="E38" s="35"/>
      <c r="G38" s="35"/>
    </row>
    <row r="39" spans="2:9">
      <c r="B39" s="63" t="s">
        <v>118</v>
      </c>
      <c r="C39" s="70">
        <f>'[1]2024-25'!$CA39</f>
        <v>396.55169289999998</v>
      </c>
      <c r="D39" s="31"/>
      <c r="E39" s="35"/>
      <c r="G39" s="35"/>
    </row>
    <row r="40" spans="2:9">
      <c r="B40" s="63" t="s">
        <v>176</v>
      </c>
      <c r="C40" s="70">
        <f>'[1]2024-25'!$CA40</f>
        <v>55.027591700000002</v>
      </c>
      <c r="D40" s="31"/>
      <c r="E40" s="35"/>
      <c r="G40" s="35"/>
    </row>
    <row r="41" spans="2:9">
      <c r="B41" s="64" t="s">
        <v>78</v>
      </c>
      <c r="C41" s="70">
        <f>'[1]2024-25'!$CA41</f>
        <v>783.69</v>
      </c>
      <c r="D41" s="31"/>
      <c r="E41" s="41"/>
      <c r="G41" s="35"/>
    </row>
    <row r="42" spans="2:9">
      <c r="B42" s="64" t="s">
        <v>79</v>
      </c>
      <c r="C42" s="70">
        <f>'[1]2024-25'!$CA42</f>
        <v>408.18249933333334</v>
      </c>
      <c r="D42" s="31"/>
      <c r="E42" s="35"/>
      <c r="G42" s="42"/>
      <c r="H42" s="35"/>
      <c r="I42" s="35"/>
    </row>
    <row r="43" spans="2:9">
      <c r="B43" s="64" t="s">
        <v>119</v>
      </c>
      <c r="C43" s="70">
        <f>'[1]2024-25'!$CA43</f>
        <v>-0.68999946666666789</v>
      </c>
      <c r="D43" s="31"/>
      <c r="E43" s="35"/>
      <c r="G43" s="33"/>
    </row>
    <row r="44" spans="2:9">
      <c r="B44" s="56" t="s">
        <v>80</v>
      </c>
      <c r="C44" s="54">
        <f>SUM(C33:C43)</f>
        <v>2781.9533534666666</v>
      </c>
      <c r="D44" s="31"/>
      <c r="E44" s="41"/>
      <c r="G44" s="33"/>
    </row>
    <row r="45" spans="2:9">
      <c r="B45" s="64" t="s">
        <v>81</v>
      </c>
      <c r="C45" s="70">
        <f>'[1]2024-25'!$CA45</f>
        <v>739.83759239999995</v>
      </c>
      <c r="D45" s="31"/>
      <c r="E45" s="41"/>
    </row>
    <row r="46" spans="2:9">
      <c r="B46" s="64" t="s">
        <v>82</v>
      </c>
      <c r="C46" s="70">
        <f>'[1]2024-25'!$CA46</f>
        <v>0</v>
      </c>
      <c r="D46" s="31"/>
      <c r="E46" s="35"/>
    </row>
    <row r="47" spans="2:9">
      <c r="B47" s="76" t="s">
        <v>90</v>
      </c>
      <c r="C47" s="54">
        <f>C46+C45+C44+C28+C24</f>
        <v>5554.3072699961358</v>
      </c>
      <c r="D47" s="31"/>
      <c r="E47" s="35"/>
    </row>
    <row r="48" spans="2:9">
      <c r="B48" s="57" t="s">
        <v>91</v>
      </c>
      <c r="C48" s="54">
        <f>C49+C50+C51+C52</f>
        <v>1004.3019982961183</v>
      </c>
      <c r="D48" s="60"/>
      <c r="E48" s="35"/>
    </row>
    <row r="49" spans="2:10">
      <c r="B49" s="64" t="s">
        <v>120</v>
      </c>
      <c r="C49" s="70">
        <f>'[1]2024-25'!$CA47</f>
        <v>997.95854859999997</v>
      </c>
      <c r="D49" s="31"/>
      <c r="E49" s="41"/>
      <c r="J49" s="35"/>
    </row>
    <row r="50" spans="2:10">
      <c r="B50" s="64" t="s">
        <v>83</v>
      </c>
      <c r="C50" s="70">
        <f>'[1]2024-25'!$CA48</f>
        <v>3.3625831000000002</v>
      </c>
      <c r="D50" s="31"/>
      <c r="E50" s="35"/>
    </row>
    <row r="51" spans="2:10">
      <c r="B51" s="64" t="s">
        <v>84</v>
      </c>
      <c r="C51" s="70">
        <f>'[1]2024-25'!$CA51</f>
        <v>2.980866596118235</v>
      </c>
      <c r="D51" s="31"/>
      <c r="E51" s="59"/>
    </row>
    <row r="52" spans="2:10">
      <c r="B52" s="64" t="s">
        <v>154</v>
      </c>
      <c r="C52" s="70">
        <f>'[1]2024-25'!$CA49</f>
        <v>0</v>
      </c>
      <c r="D52" s="60"/>
      <c r="E52" s="35"/>
    </row>
    <row r="53" spans="2:10">
      <c r="B53" s="57" t="s">
        <v>92</v>
      </c>
      <c r="C53" s="54">
        <f>C54+C55</f>
        <v>1616.8570239999999</v>
      </c>
      <c r="D53" s="60"/>
      <c r="E53" s="42"/>
      <c r="F53" s="35"/>
    </row>
    <row r="54" spans="2:10">
      <c r="B54" s="64" t="s">
        <v>85</v>
      </c>
      <c r="C54" s="65">
        <f>'[1]2024-25'!$CA52</f>
        <v>479.41211390000001</v>
      </c>
      <c r="D54" s="31"/>
      <c r="E54" s="35"/>
    </row>
    <row r="55" spans="2:10">
      <c r="B55" s="64" t="s">
        <v>86</v>
      </c>
      <c r="C55" s="65">
        <f>'[1]2024-25'!$CA53</f>
        <v>1137.4449101</v>
      </c>
      <c r="D55" s="31"/>
      <c r="E55" s="35"/>
    </row>
    <row r="56" spans="2:10">
      <c r="B56" s="56" t="s">
        <v>93</v>
      </c>
      <c r="C56" s="58">
        <f>C57+C58</f>
        <v>26.224571099999999</v>
      </c>
      <c r="D56" s="31"/>
      <c r="E56" s="42"/>
    </row>
    <row r="57" spans="2:10">
      <c r="B57" s="64" t="s">
        <v>87</v>
      </c>
      <c r="C57" s="65">
        <f>'[1]2024-25'!$CA54</f>
        <v>7.7650797999999996</v>
      </c>
      <c r="D57" s="61"/>
    </row>
    <row r="58" spans="2:10">
      <c r="B58" s="64" t="s">
        <v>88</v>
      </c>
      <c r="C58" s="65">
        <f>'[1]2024-25'!$CA55</f>
        <v>18.4594913</v>
      </c>
      <c r="D58" s="31"/>
      <c r="E58" s="43"/>
    </row>
    <row r="59" spans="2:10">
      <c r="B59" s="76" t="s">
        <v>94</v>
      </c>
      <c r="C59" s="58">
        <f>C56+C53+C48</f>
        <v>2647.3835933961182</v>
      </c>
    </row>
    <row r="60" spans="2:10">
      <c r="D60" s="61"/>
    </row>
    <row r="61" spans="2:10">
      <c r="B61" s="30" t="s">
        <v>95</v>
      </c>
      <c r="C61" s="44">
        <f>C59+C47+C29+C30+C31+C32</f>
        <v>8201.690863392254</v>
      </c>
    </row>
  </sheetData>
  <mergeCells count="3">
    <mergeCell ref="G4:J4"/>
    <mergeCell ref="F13:J13"/>
    <mergeCell ref="N11:O11"/>
  </mergeCells>
  <pageMargins left="0.7" right="0.7" top="0.75" bottom="0.75" header="0.3" footer="0.3"/>
  <pageSetup paperSize="9" scale="53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70C0"/>
  </sheetPr>
  <dimension ref="B2:J11"/>
  <sheetViews>
    <sheetView showGridLines="0" zoomScale="78" zoomScaleNormal="55" workbookViewId="0">
      <selection activeCell="I22" sqref="I22"/>
    </sheetView>
  </sheetViews>
  <sheetFormatPr defaultColWidth="8.7109375" defaultRowHeight="15.75"/>
  <cols>
    <col min="1" max="1" width="8.7109375" style="15" bestFit="1"/>
    <col min="2" max="2" width="26.42578125" style="15" bestFit="1" customWidth="1"/>
    <col min="3" max="3" width="24.42578125" style="15" customWidth="1"/>
    <col min="4" max="4" width="31" style="15" customWidth="1"/>
    <col min="5" max="6" width="20.85546875" style="15" customWidth="1"/>
    <col min="7" max="7" width="25.5703125" style="15" customWidth="1"/>
    <col min="8" max="8" width="16.85546875" style="15" bestFit="1" customWidth="1"/>
    <col min="9" max="9" width="17.85546875" style="21" customWidth="1"/>
    <col min="10" max="10" width="8.7109375" style="15" bestFit="1"/>
    <col min="11" max="11" width="8.85546875" style="15" bestFit="1" customWidth="1"/>
    <col min="12" max="12" width="8.7109375" style="15" bestFit="1"/>
    <col min="13" max="16384" width="8.7109375" style="15"/>
  </cols>
  <sheetData>
    <row r="2" spans="2:10">
      <c r="B2" s="13" t="s">
        <v>97</v>
      </c>
      <c r="C2" s="53">
        <v>45566</v>
      </c>
      <c r="D2" s="53">
        <v>45597</v>
      </c>
      <c r="E2" s="53">
        <v>45627</v>
      </c>
      <c r="F2" s="53">
        <v>45658</v>
      </c>
      <c r="G2" s="53">
        <v>45689</v>
      </c>
      <c r="H2" s="53">
        <v>45717</v>
      </c>
      <c r="I2" s="45" t="s">
        <v>98</v>
      </c>
    </row>
    <row r="3" spans="2:10">
      <c r="B3" s="14" t="s">
        <v>182</v>
      </c>
      <c r="C3" s="123">
        <f>'[3]Day (1)'!$CU$25</f>
        <v>32116312.241883762</v>
      </c>
      <c r="D3" s="115">
        <f>'[4]Day (1)'!$CU$25</f>
        <v>26488692.027721427</v>
      </c>
      <c r="E3" s="115">
        <f>'[5]Day (1)'!$CU$25</f>
        <v>24957939.871027343</v>
      </c>
      <c r="F3" s="115">
        <f>'[6]Day (1)'!$CU$25</f>
        <v>28191941.655190185</v>
      </c>
      <c r="G3" s="114">
        <f>'[7]Day (1)'!$CU$25</f>
        <v>26402985.681138225</v>
      </c>
      <c r="H3" s="114">
        <f>'[8]Day (1)'!$CU$25</f>
        <v>30150081.825181294</v>
      </c>
      <c r="I3" s="131">
        <f t="shared" ref="I3:I9" si="0">SUM(C3:H3)/(96*182)</f>
        <v>9633.0101477874468</v>
      </c>
    </row>
    <row r="4" spans="2:10">
      <c r="B4" s="14" t="s">
        <v>99</v>
      </c>
      <c r="C4" s="123">
        <f>'[3]Day (1)'!$CU$53</f>
        <v>25986713.68268374</v>
      </c>
      <c r="D4" s="115">
        <f>'[4]Day (1)'!$CU$53</f>
        <v>19835321.026441433</v>
      </c>
      <c r="E4" s="115">
        <f>'[5]Day (1)'!$CU$53</f>
        <v>19175968.617540121</v>
      </c>
      <c r="F4" s="115">
        <f>'[6]Day (1)'!$CU$53</f>
        <v>22846514.794622183</v>
      </c>
      <c r="G4" s="114">
        <f>'[7]Day (1)'!$CU$53</f>
        <v>23574635.435938213</v>
      </c>
      <c r="H4" s="114">
        <f>'[8]Day (1)'!$CU$53</f>
        <v>27262181.92517329</v>
      </c>
      <c r="I4" s="89">
        <f t="shared" si="0"/>
        <v>7937.3474978479271</v>
      </c>
    </row>
    <row r="5" spans="2:10">
      <c r="B5" s="14" t="s">
        <v>138</v>
      </c>
      <c r="C5" s="123">
        <f>'[3]Day (1)'!$CU$55</f>
        <v>6129598.5592</v>
      </c>
      <c r="D5" s="115">
        <f>'[4]Day (1)'!$CU$55</f>
        <v>6653371.0012799995</v>
      </c>
      <c r="E5" s="115">
        <f>'[5]Day (1)'!$CU$55</f>
        <v>5781971.2534872266</v>
      </c>
      <c r="F5" s="115">
        <f>'[6]Day (1)'!$CU$55</f>
        <v>5345426.860568</v>
      </c>
      <c r="G5" s="114">
        <f>'[7]Day (1)'!$CU$55</f>
        <v>2828350.2452000002</v>
      </c>
      <c r="H5" s="114">
        <f>'[8]Day (1)'!$CU$55</f>
        <v>2887899.9000080009</v>
      </c>
      <c r="I5" s="132">
        <f t="shared" si="0"/>
        <v>1695.6626499395161</v>
      </c>
    </row>
    <row r="6" spans="2:10" ht="31.5">
      <c r="B6" s="12" t="s">
        <v>139</v>
      </c>
      <c r="C6" s="123">
        <f>'[3]Day (1)'!$CU$56</f>
        <v>2768067.4000000008</v>
      </c>
      <c r="D6" s="115">
        <f>'[4]Day (1)'!$CU$56</f>
        <v>4198571.8499999996</v>
      </c>
      <c r="E6" s="115">
        <f>'[5]Day (1)'!$CU$56</f>
        <v>11344464.490000002</v>
      </c>
      <c r="F6" s="115">
        <f>'[6]Day (1)'!$CU$56</f>
        <v>10366297.170000002</v>
      </c>
      <c r="G6" s="114">
        <f>'[7]Day (1)'!$CU$56</f>
        <v>8387463.5199999996</v>
      </c>
      <c r="H6" s="114">
        <f>'[8]Day (1)'!$CU$56</f>
        <v>8152837.0500000007</v>
      </c>
      <c r="I6" s="132">
        <f t="shared" si="0"/>
        <v>2588.0094711538463</v>
      </c>
    </row>
    <row r="7" spans="2:10" ht="47.25">
      <c r="B7" s="12" t="s">
        <v>140</v>
      </c>
      <c r="C7" s="123">
        <f>'[3]Day (1)'!$CU$57</f>
        <v>3837055.7584000011</v>
      </c>
      <c r="D7" s="115">
        <f>'[4]Day (1)'!$CU$57</f>
        <v>2983295.7018799996</v>
      </c>
      <c r="E7" s="115">
        <f>'[5]Day (1)'!$CU$57</f>
        <v>151318.31051199994</v>
      </c>
      <c r="F7" s="115">
        <f>'[6]Day (1)'!$CU$57</f>
        <v>409179.42135900015</v>
      </c>
      <c r="G7" s="114">
        <f>'[7]Day (1)'!$CU$57</f>
        <v>91884.939600000071</v>
      </c>
      <c r="H7" s="114">
        <f>'[8]Day (1)'!$CU$57</f>
        <v>137570.67224000001</v>
      </c>
      <c r="I7" s="131">
        <f t="shared" si="0"/>
        <v>435.57147458739706</v>
      </c>
    </row>
    <row r="8" spans="2:10">
      <c r="B8" s="14" t="s">
        <v>100</v>
      </c>
      <c r="C8" s="123">
        <f>'[3]Day (1)'!$CU$96</f>
        <v>840994.49488178035</v>
      </c>
      <c r="D8" s="115">
        <f>'[4]Day (1)'!$CU$96</f>
        <v>851785.152018836</v>
      </c>
      <c r="E8" s="115">
        <f>'[5]Day (1)'!$CU$96</f>
        <v>791868.71012790082</v>
      </c>
      <c r="F8" s="115">
        <f>'[6]Day (1)'!$CU$96</f>
        <v>756246.44370068156</v>
      </c>
      <c r="G8" s="114">
        <f>'[7]Day (1)'!$CU$96</f>
        <v>682768.01396189083</v>
      </c>
      <c r="H8" s="114">
        <f>'[8]Day (1)'!$CU$96</f>
        <v>826113.28056425694</v>
      </c>
      <c r="I8" s="89">
        <f t="shared" si="0"/>
        <v>271.85073805261823</v>
      </c>
    </row>
    <row r="9" spans="2:10">
      <c r="B9" s="13" t="s">
        <v>101</v>
      </c>
      <c r="C9" s="123">
        <f>'[3]Day (1)'!$CU$99</f>
        <v>702748.96574061259</v>
      </c>
      <c r="D9" s="115">
        <f>'[4]Day (1)'!$CU$99</f>
        <v>657107.7548621929</v>
      </c>
      <c r="E9" s="115">
        <f>'[5]Day (1)'!$CU$99</f>
        <v>88289.2667581391</v>
      </c>
      <c r="F9" s="115">
        <f>'[6]Day (1)'!$CU$99</f>
        <v>110202.65038948953</v>
      </c>
      <c r="G9" s="114">
        <f>'[7]Day (1)'!$CU$99</f>
        <v>29313.479116201172</v>
      </c>
      <c r="H9" s="114">
        <f>'[8]Day (1)'!$CU$99</f>
        <v>37617.929076688175</v>
      </c>
      <c r="I9" s="132">
        <f t="shared" si="0"/>
        <v>93.021980651518049</v>
      </c>
      <c r="J9" s="126"/>
    </row>
    <row r="10" spans="2:10">
      <c r="B10" s="150" t="s">
        <v>191</v>
      </c>
      <c r="C10" s="150"/>
      <c r="D10" s="150"/>
      <c r="E10" s="150"/>
      <c r="F10" s="150"/>
      <c r="G10" s="150"/>
      <c r="H10" s="150"/>
      <c r="I10" s="150"/>
    </row>
    <row r="11" spans="2:10">
      <c r="B11" s="150"/>
      <c r="C11" s="150"/>
      <c r="D11" s="150"/>
      <c r="E11" s="150"/>
      <c r="F11" s="150"/>
      <c r="G11" s="150"/>
      <c r="H11" s="150"/>
      <c r="I11" s="150"/>
    </row>
  </sheetData>
  <mergeCells count="1">
    <mergeCell ref="B10:I11"/>
  </mergeCells>
  <printOptions horizontalCentered="1"/>
  <pageMargins left="0.7" right="0.7" top="0.75" bottom="0.75" header="0.3" footer="0.3"/>
  <pageSetup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70C0"/>
  </sheetPr>
  <dimension ref="A3:L50"/>
  <sheetViews>
    <sheetView showGridLines="0" zoomScale="58" zoomScaleNormal="80" zoomScaleSheetLayoutView="70" workbookViewId="0">
      <selection activeCell="G61" sqref="G61"/>
    </sheetView>
  </sheetViews>
  <sheetFormatPr defaultColWidth="8.7109375" defaultRowHeight="15.75"/>
  <cols>
    <col min="1" max="1" width="8.7109375" style="22"/>
    <col min="2" max="2" width="14.5703125" style="22" customWidth="1"/>
    <col min="3" max="3" width="52.28515625" style="22" customWidth="1"/>
    <col min="4" max="4" width="23.140625" style="22" customWidth="1"/>
    <col min="5" max="5" width="30.85546875" style="22" customWidth="1"/>
    <col min="6" max="6" width="12.85546875" style="22" customWidth="1"/>
    <col min="7" max="7" width="28.140625" style="33" customWidth="1"/>
    <col min="8" max="8" width="9" style="22" customWidth="1"/>
    <col min="9" max="9" width="8.7109375" style="22" customWidth="1"/>
    <col min="10" max="10" width="13.7109375" style="22" customWidth="1"/>
    <col min="11" max="11" width="55.5703125" style="22" bestFit="1" customWidth="1"/>
    <col min="12" max="16384" width="8.7109375" style="22"/>
  </cols>
  <sheetData>
    <row r="3" spans="2:12" s="33" customFormat="1">
      <c r="B3" s="151" t="s">
        <v>0</v>
      </c>
      <c r="C3" s="151"/>
      <c r="D3" s="152" t="s">
        <v>1</v>
      </c>
      <c r="E3" s="52" t="s">
        <v>179</v>
      </c>
      <c r="F3" s="46"/>
    </row>
    <row r="4" spans="2:12" ht="31.5">
      <c r="B4" s="151"/>
      <c r="C4" s="151"/>
      <c r="D4" s="153"/>
      <c r="E4" s="52" t="s">
        <v>180</v>
      </c>
      <c r="F4" s="46"/>
      <c r="G4" s="129"/>
    </row>
    <row r="5" spans="2:12" ht="24.95" customHeight="1">
      <c r="B5" s="88" t="s">
        <v>2</v>
      </c>
      <c r="C5" s="88" t="s">
        <v>3</v>
      </c>
      <c r="D5" s="91" t="s">
        <v>4</v>
      </c>
      <c r="E5" s="119">
        <f>'Avail &amp; Stranded Capacity'!I3</f>
        <v>9633.0101477874468</v>
      </c>
      <c r="F5" s="24"/>
      <c r="G5" s="130"/>
      <c r="H5" s="47"/>
    </row>
    <row r="6" spans="2:12" ht="34.5" customHeight="1">
      <c r="B6" s="86" t="s">
        <v>5</v>
      </c>
      <c r="C6" s="86" t="s">
        <v>6</v>
      </c>
      <c r="D6" s="91" t="s">
        <v>4</v>
      </c>
      <c r="E6" s="120">
        <f>'Avail &amp; Stranded Capacity'!I9</f>
        <v>93.021980651518049</v>
      </c>
      <c r="F6" s="24"/>
      <c r="G6" s="130"/>
      <c r="H6" s="47"/>
    </row>
    <row r="7" spans="2:12" ht="30.75" customHeight="1">
      <c r="B7" s="86" t="s">
        <v>8</v>
      </c>
      <c r="C7" s="86" t="s">
        <v>9</v>
      </c>
      <c r="D7" s="91" t="s">
        <v>10</v>
      </c>
      <c r="E7" s="120">
        <f>11571.58-5686.8</f>
        <v>5884.78</v>
      </c>
      <c r="F7" s="24"/>
      <c r="G7" s="130"/>
      <c r="H7" s="47"/>
      <c r="L7" s="47"/>
    </row>
    <row r="8" spans="2:12" ht="24.95" customHeight="1">
      <c r="B8" s="86" t="s">
        <v>12</v>
      </c>
      <c r="C8" s="86" t="s">
        <v>13</v>
      </c>
      <c r="D8" s="86" t="s">
        <v>14</v>
      </c>
      <c r="E8" s="119">
        <f>E7/E5</f>
        <v>0.61089731140287884</v>
      </c>
      <c r="F8" s="24"/>
      <c r="G8" s="130"/>
      <c r="H8" s="47"/>
    </row>
    <row r="9" spans="2:12" ht="24.95" customHeight="1">
      <c r="B9" s="86" t="s">
        <v>15</v>
      </c>
      <c r="C9" s="86" t="s">
        <v>16</v>
      </c>
      <c r="D9" s="91" t="s">
        <v>10</v>
      </c>
      <c r="E9" s="119">
        <f>E8*E6</f>
        <v>56.826877881382991</v>
      </c>
      <c r="F9" s="24"/>
      <c r="G9" s="130"/>
      <c r="H9" s="47"/>
    </row>
    <row r="10" spans="2:12" ht="30.75" customHeight="1">
      <c r="B10" s="86" t="s">
        <v>17</v>
      </c>
      <c r="C10" s="86" t="s">
        <v>18</v>
      </c>
      <c r="D10" s="91" t="s">
        <v>10</v>
      </c>
      <c r="E10" s="119">
        <f>'[2]2024-25'!$BU$63/10^7-2943.24</f>
        <v>2674.5334656961186</v>
      </c>
      <c r="G10" s="130"/>
      <c r="H10" s="47"/>
    </row>
    <row r="11" spans="2:12" ht="24.95" customHeight="1">
      <c r="B11" s="86" t="s">
        <v>19</v>
      </c>
      <c r="C11" s="86" t="s">
        <v>20</v>
      </c>
      <c r="D11" s="91" t="s">
        <v>21</v>
      </c>
      <c r="E11" s="120">
        <f>0.9754*J11</f>
        <v>45108.028687904458</v>
      </c>
      <c r="F11" s="24"/>
      <c r="G11" s="130" t="s">
        <v>192</v>
      </c>
      <c r="H11" s="47"/>
      <c r="J11" s="127">
        <v>46245.672224630362</v>
      </c>
    </row>
    <row r="12" spans="2:12" ht="24.95" customHeight="1">
      <c r="B12" s="86" t="s">
        <v>22</v>
      </c>
      <c r="C12" s="86" t="s">
        <v>23</v>
      </c>
      <c r="D12" s="91" t="s">
        <v>24</v>
      </c>
      <c r="E12" s="119">
        <f>E10*10/E11</f>
        <v>0.59291739042750147</v>
      </c>
      <c r="F12" s="24"/>
      <c r="G12" s="130"/>
      <c r="H12" s="47"/>
    </row>
    <row r="13" spans="2:12" s="33" customFormat="1" ht="28.5" customHeight="1">
      <c r="B13" s="86" t="s">
        <v>25</v>
      </c>
      <c r="C13" s="91" t="s">
        <v>26</v>
      </c>
      <c r="D13" s="91" t="s">
        <v>24</v>
      </c>
      <c r="E13" s="120">
        <f>'Actual FC, PGCIL &amp; TM Cost'!J10</f>
        <v>0.13164737206371141</v>
      </c>
      <c r="F13" s="24"/>
      <c r="G13" s="130"/>
      <c r="H13" s="47"/>
    </row>
    <row r="14" spans="2:12" ht="38.1" customHeight="1">
      <c r="B14" s="86" t="s">
        <v>27</v>
      </c>
      <c r="C14" s="86" t="s">
        <v>28</v>
      </c>
      <c r="D14" s="91" t="s">
        <v>24</v>
      </c>
      <c r="E14" s="119">
        <f>E12+E13</f>
        <v>0.72456476249121282</v>
      </c>
      <c r="F14" s="24"/>
      <c r="G14" s="130"/>
      <c r="H14" s="47"/>
      <c r="J14" s="47"/>
    </row>
    <row r="15" spans="2:12" ht="33.75" customHeight="1">
      <c r="B15" s="86" t="s">
        <v>29</v>
      </c>
      <c r="C15" s="86" t="s">
        <v>142</v>
      </c>
      <c r="D15" s="91" t="s">
        <v>21</v>
      </c>
      <c r="E15" s="121">
        <f>'Servicewise Inf. SP+NP'!E8</f>
        <v>1893.5234087849001</v>
      </c>
      <c r="F15" s="24"/>
      <c r="H15" s="47"/>
    </row>
    <row r="16" spans="2:12" ht="36" customHeight="1">
      <c r="B16" s="86" t="s">
        <v>30</v>
      </c>
      <c r="C16" s="96" t="s">
        <v>141</v>
      </c>
      <c r="D16" s="91" t="s">
        <v>10</v>
      </c>
      <c r="E16" s="119">
        <f>E15*E14/10</f>
        <v>137.19803389577828</v>
      </c>
      <c r="F16" s="24"/>
      <c r="H16" s="47"/>
    </row>
    <row r="17" spans="1:10" ht="36" customHeight="1">
      <c r="B17" s="86" t="s">
        <v>31</v>
      </c>
      <c r="C17" s="86" t="s">
        <v>32</v>
      </c>
      <c r="D17" s="91" t="s">
        <v>10</v>
      </c>
      <c r="E17" s="122">
        <f>'Actual FC, PGCIL &amp; TM Cost'!J17</f>
        <v>185.04680205418379</v>
      </c>
      <c r="F17" s="24"/>
      <c r="G17" s="48"/>
      <c r="H17" s="47"/>
      <c r="I17" s="47"/>
    </row>
    <row r="18" spans="1:10" ht="24.95" customHeight="1">
      <c r="B18" s="86" t="s">
        <v>34</v>
      </c>
      <c r="C18" s="86" t="s">
        <v>35</v>
      </c>
      <c r="D18" s="91" t="s">
        <v>10</v>
      </c>
      <c r="E18" s="119">
        <f>E17-E16</f>
        <v>47.848768158405505</v>
      </c>
      <c r="F18" s="24"/>
      <c r="G18" s="48"/>
      <c r="H18" s="47"/>
      <c r="I18" s="47"/>
      <c r="J18" s="47"/>
    </row>
    <row r="19" spans="1:10" ht="24.95" customHeight="1">
      <c r="B19" s="86" t="s">
        <v>36</v>
      </c>
      <c r="C19" s="86" t="s">
        <v>37</v>
      </c>
      <c r="D19" s="91" t="s">
        <v>10</v>
      </c>
      <c r="E19" s="119">
        <f>E9-E18</f>
        <v>8.9781097229774858</v>
      </c>
      <c r="F19" s="24"/>
      <c r="G19" s="48"/>
      <c r="H19" s="47"/>
      <c r="I19" s="47"/>
      <c r="J19" s="47"/>
    </row>
    <row r="20" spans="1:10" s="33" customFormat="1" ht="31.5" customHeight="1">
      <c r="B20" s="86" t="s">
        <v>38</v>
      </c>
      <c r="C20" s="86" t="s">
        <v>39</v>
      </c>
      <c r="D20" s="91" t="s">
        <v>21</v>
      </c>
      <c r="E20" s="119">
        <f>'[9]2024-25 (H2) -Final'!$T$35</f>
        <v>254.72438299999999</v>
      </c>
      <c r="F20" s="24"/>
      <c r="G20" s="48"/>
      <c r="H20" s="47"/>
      <c r="I20" s="48"/>
    </row>
    <row r="21" spans="1:10" ht="24.95" customHeight="1">
      <c r="B21" s="86" t="s">
        <v>41</v>
      </c>
      <c r="C21" s="97" t="s">
        <v>42</v>
      </c>
      <c r="D21" s="98" t="s">
        <v>24</v>
      </c>
      <c r="E21" s="99">
        <f>E19*10/E20</f>
        <v>0.3524636949646664</v>
      </c>
      <c r="F21" s="24"/>
      <c r="H21" s="47"/>
    </row>
    <row r="23" spans="1:10">
      <c r="E23" s="47"/>
      <c r="F23" s="47"/>
    </row>
    <row r="24" spans="1:10" hidden="1"/>
    <row r="25" spans="1:10" hidden="1">
      <c r="C25" s="49" t="s">
        <v>11</v>
      </c>
      <c r="D25" s="49"/>
    </row>
    <row r="26" spans="1:10" hidden="1">
      <c r="C26" s="49" t="s">
        <v>43</v>
      </c>
      <c r="D26" s="49"/>
    </row>
    <row r="27" spans="1:10" hidden="1"/>
    <row r="28" spans="1:10" hidden="1"/>
    <row r="29" spans="1:10" hidden="1"/>
    <row r="30" spans="1:10" hidden="1">
      <c r="C30" s="49" t="s">
        <v>44</v>
      </c>
      <c r="D30" s="49"/>
    </row>
    <row r="31" spans="1:10" hidden="1">
      <c r="C31" s="49" t="s">
        <v>40</v>
      </c>
      <c r="D31" s="49"/>
    </row>
    <row r="32" spans="1:10" hidden="1">
      <c r="A32" s="50" t="s">
        <v>45</v>
      </c>
      <c r="C32" s="49" t="s">
        <v>46</v>
      </c>
      <c r="D32" s="49"/>
    </row>
    <row r="33" spans="1:4" hidden="1">
      <c r="A33" s="50" t="s">
        <v>47</v>
      </c>
      <c r="C33" s="49" t="s">
        <v>48</v>
      </c>
      <c r="D33" s="49"/>
    </row>
    <row r="34" spans="1:4" hidden="1"/>
    <row r="35" spans="1:4" hidden="1"/>
    <row r="36" spans="1:4" hidden="1"/>
    <row r="37" spans="1:4" hidden="1">
      <c r="C37" s="49" t="s">
        <v>49</v>
      </c>
      <c r="D37" s="49"/>
    </row>
    <row r="38" spans="1:4" hidden="1">
      <c r="C38" s="49" t="s">
        <v>50</v>
      </c>
      <c r="D38" s="49"/>
    </row>
    <row r="39" spans="1:4" hidden="1">
      <c r="C39" s="49" t="s">
        <v>51</v>
      </c>
      <c r="D39" s="49"/>
    </row>
    <row r="40" spans="1:4" hidden="1"/>
    <row r="41" spans="1:4" hidden="1"/>
    <row r="42" spans="1:4" hidden="1"/>
    <row r="43" spans="1:4" hidden="1">
      <c r="C43" s="49" t="s">
        <v>52</v>
      </c>
      <c r="D43" s="49"/>
    </row>
    <row r="44" spans="1:4" hidden="1">
      <c r="C44" s="49" t="s">
        <v>53</v>
      </c>
      <c r="D44" s="49"/>
    </row>
    <row r="45" spans="1:4" hidden="1">
      <c r="C45" s="49" t="s">
        <v>33</v>
      </c>
      <c r="D45" s="49"/>
    </row>
    <row r="46" spans="1:4" hidden="1"/>
    <row r="47" spans="1:4" hidden="1"/>
    <row r="48" spans="1:4" hidden="1"/>
    <row r="49" spans="3:4" ht="31.5" hidden="1">
      <c r="C49" s="51" t="s">
        <v>54</v>
      </c>
      <c r="D49" s="49"/>
    </row>
    <row r="50" spans="3:4" ht="31.5" hidden="1">
      <c r="C50" s="51" t="s">
        <v>7</v>
      </c>
      <c r="D50" s="49"/>
    </row>
  </sheetData>
  <mergeCells count="2">
    <mergeCell ref="B3:C4"/>
    <mergeCell ref="D3:D4"/>
  </mergeCells>
  <printOptions horizontalCentered="1"/>
  <pageMargins left="0.45" right="0.45" top="0.5" bottom="0.5" header="0" footer="0"/>
  <pageSetup scale="80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:H13"/>
  <sheetViews>
    <sheetView showGridLines="0" zoomScale="67" workbookViewId="0">
      <selection activeCell="O26" sqref="O26"/>
    </sheetView>
  </sheetViews>
  <sheetFormatPr defaultColWidth="8.7109375" defaultRowHeight="15"/>
  <cols>
    <col min="1" max="1" width="8.7109375" style="71"/>
    <col min="2" max="2" width="12.7109375" style="71" bestFit="1" customWidth="1"/>
    <col min="3" max="3" width="8.7109375" style="71"/>
    <col min="4" max="4" width="13.140625" style="71" bestFit="1" customWidth="1"/>
    <col min="5" max="5" width="29.85546875" style="71" bestFit="1" customWidth="1"/>
    <col min="6" max="6" width="12.85546875" style="71" customWidth="1"/>
    <col min="7" max="7" width="8.7109375" style="71"/>
    <col min="8" max="8" width="13.7109375" style="71" customWidth="1"/>
    <col min="9" max="16384" width="8.7109375" style="71"/>
  </cols>
  <sheetData>
    <row r="1" spans="1:8">
      <c r="A1" s="71" t="s">
        <v>177</v>
      </c>
      <c r="C1" s="71" t="s">
        <v>168</v>
      </c>
      <c r="H1" s="71" t="s">
        <v>193</v>
      </c>
    </row>
    <row r="2" spans="1:8">
      <c r="C2" s="154" t="s">
        <v>155</v>
      </c>
      <c r="D2" s="79" t="s">
        <v>171</v>
      </c>
      <c r="E2" s="79" t="s">
        <v>167</v>
      </c>
      <c r="F2" s="79"/>
    </row>
    <row r="3" spans="1:8">
      <c r="C3" s="155"/>
      <c r="D3" s="79" t="s">
        <v>173</v>
      </c>
      <c r="E3" s="79" t="s">
        <v>173</v>
      </c>
      <c r="F3" s="79" t="s">
        <v>170</v>
      </c>
      <c r="H3" s="79" t="s">
        <v>170</v>
      </c>
    </row>
    <row r="4" spans="1:8">
      <c r="C4" s="109" t="s">
        <v>157</v>
      </c>
      <c r="D4" s="110">
        <v>43.34</v>
      </c>
      <c r="E4" s="110">
        <f>1633.75*1000</f>
        <v>1633750</v>
      </c>
      <c r="F4" s="111">
        <f>D4/0.95*E4*12/10^7</f>
        <v>89.440073684210546</v>
      </c>
      <c r="H4" s="111">
        <v>84.97</v>
      </c>
    </row>
    <row r="5" spans="1:8">
      <c r="C5" s="109" t="s">
        <v>158</v>
      </c>
      <c r="D5" s="110">
        <v>177.39</v>
      </c>
      <c r="E5" s="110">
        <f>2740.97*1000</f>
        <v>2740970</v>
      </c>
      <c r="F5" s="111">
        <f>D5/0.95*E5*12/10^7</f>
        <v>614.17347574736846</v>
      </c>
      <c r="H5" s="111">
        <v>583.45000000000005</v>
      </c>
    </row>
    <row r="6" spans="1:8">
      <c r="C6" s="72"/>
      <c r="D6" s="72"/>
      <c r="E6" s="72"/>
      <c r="F6" s="73"/>
    </row>
    <row r="7" spans="1:8">
      <c r="C7" s="72"/>
      <c r="D7" s="72"/>
      <c r="E7" s="72"/>
      <c r="F7" s="73"/>
    </row>
    <row r="8" spans="1:8">
      <c r="C8" s="154" t="s">
        <v>156</v>
      </c>
      <c r="D8" s="79" t="s">
        <v>171</v>
      </c>
      <c r="E8" s="79" t="s">
        <v>167</v>
      </c>
      <c r="F8" s="80"/>
    </row>
    <row r="9" spans="1:8">
      <c r="C9" s="155"/>
      <c r="D9" s="79" t="s">
        <v>173</v>
      </c>
      <c r="E9" s="79" t="s">
        <v>173</v>
      </c>
      <c r="F9" s="80" t="s">
        <v>170</v>
      </c>
      <c r="H9" s="79" t="s">
        <v>170</v>
      </c>
    </row>
    <row r="10" spans="1:8">
      <c r="C10" s="109" t="s">
        <v>157</v>
      </c>
      <c r="D10" s="110">
        <v>33.81</v>
      </c>
      <c r="E10" s="110">
        <f>189.83*1000</f>
        <v>189830</v>
      </c>
      <c r="F10" s="111">
        <f>D10/0.95*E10*12/10^7</f>
        <v>8.1071397473684215</v>
      </c>
      <c r="H10" s="111">
        <v>7.7</v>
      </c>
    </row>
    <row r="11" spans="1:8">
      <c r="C11" s="109" t="s">
        <v>158</v>
      </c>
      <c r="D11" s="110">
        <v>278.45999999999998</v>
      </c>
      <c r="E11" s="110">
        <f>1130.96*1000</f>
        <v>1130960</v>
      </c>
      <c r="F11" s="111">
        <f>D11/0.95*E11*12/10^7</f>
        <v>397.8026799157895</v>
      </c>
      <c r="H11" s="111">
        <v>377.91</v>
      </c>
    </row>
    <row r="13" spans="1:8">
      <c r="E13" s="81" t="s">
        <v>169</v>
      </c>
      <c r="F13" s="82">
        <f>SUM(F4,F5,F10,F11)</f>
        <v>1109.5233690947368</v>
      </c>
      <c r="H13" s="124">
        <f>SUM(H4:H5,H10:H11)</f>
        <v>1054.0300000000002</v>
      </c>
    </row>
  </sheetData>
  <mergeCells count="2">
    <mergeCell ref="C2:C3"/>
    <mergeCell ref="C8:C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</sheetPr>
  <dimension ref="A1:E14"/>
  <sheetViews>
    <sheetView showGridLines="0" workbookViewId="0">
      <selection activeCell="G17" sqref="G17"/>
    </sheetView>
  </sheetViews>
  <sheetFormatPr defaultRowHeight="15"/>
  <cols>
    <col min="3" max="3" width="19.85546875" bestFit="1" customWidth="1"/>
    <col min="4" max="4" width="16.42578125" customWidth="1"/>
    <col min="5" max="5" width="18.140625" customWidth="1"/>
  </cols>
  <sheetData>
    <row r="1" spans="1:5">
      <c r="A1" t="s">
        <v>184</v>
      </c>
    </row>
    <row r="3" spans="1:5">
      <c r="B3" s="156" t="s">
        <v>148</v>
      </c>
      <c r="C3" s="157"/>
      <c r="D3" s="75" t="s">
        <v>159</v>
      </c>
      <c r="E3" s="75" t="s">
        <v>183</v>
      </c>
    </row>
    <row r="4" spans="1:5">
      <c r="B4" s="158" t="s">
        <v>156</v>
      </c>
      <c r="C4" s="159"/>
      <c r="D4" s="104">
        <f>'[10]Export Worksheet (3)'!$AS$1227*10^7</f>
        <v>481900180</v>
      </c>
      <c r="E4" s="104">
        <f>'[10]Export Worksheet (3)'!$AR$1227*10^6</f>
        <v>242046831</v>
      </c>
    </row>
    <row r="5" spans="1:5">
      <c r="B5" s="160" t="s">
        <v>155</v>
      </c>
      <c r="C5" s="161"/>
      <c r="D5" s="104">
        <f>'[10]Export Worksheet (3)'!$AS$1225</f>
        <v>1988133652.6355002</v>
      </c>
      <c r="E5" s="104">
        <f>'[10]Export Worksheet (3)'!$AR$1225</f>
        <v>1651476577.7849002</v>
      </c>
    </row>
    <row r="6" spans="1:5">
      <c r="B6" s="162" t="s">
        <v>95</v>
      </c>
      <c r="C6" s="163"/>
      <c r="D6" s="78">
        <f>SUM(D4:D5)</f>
        <v>2470033832.6355</v>
      </c>
      <c r="E6" s="78">
        <f>SUM(E4:E5)</f>
        <v>1893523408.7849002</v>
      </c>
    </row>
    <row r="7" spans="1:5">
      <c r="B7" s="166"/>
      <c r="C7" s="166"/>
      <c r="D7" s="74"/>
    </row>
    <row r="8" spans="1:5">
      <c r="B8" s="164" t="s">
        <v>95</v>
      </c>
      <c r="C8" s="165"/>
      <c r="D8" s="145">
        <f>D6/10^7</f>
        <v>247.00338326355001</v>
      </c>
      <c r="E8" s="105">
        <f>E6/10^6</f>
        <v>1893.5234087849001</v>
      </c>
    </row>
    <row r="9" spans="1:5">
      <c r="B9" s="106"/>
      <c r="C9" s="106"/>
      <c r="D9" s="107" t="s">
        <v>172</v>
      </c>
      <c r="E9" s="107" t="s">
        <v>21</v>
      </c>
    </row>
    <row r="12" spans="1:5">
      <c r="D12" s="125"/>
      <c r="E12" s="125"/>
    </row>
    <row r="13" spans="1:5">
      <c r="E13" s="4"/>
    </row>
    <row r="14" spans="1:5">
      <c r="C14" s="133"/>
      <c r="D14" s="134"/>
      <c r="E14" s="135"/>
    </row>
  </sheetData>
  <mergeCells count="6">
    <mergeCell ref="B3:C3"/>
    <mergeCell ref="B4:C4"/>
    <mergeCell ref="B5:C5"/>
    <mergeCell ref="B6:C6"/>
    <mergeCell ref="B8:C8"/>
    <mergeCell ref="B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/>
  <dimension ref="C3:G13"/>
  <sheetViews>
    <sheetView workbookViewId="0">
      <selection activeCell="D8" sqref="D8"/>
    </sheetView>
  </sheetViews>
  <sheetFormatPr defaultRowHeight="15"/>
  <cols>
    <col min="4" max="6" width="10.5703125" customWidth="1"/>
  </cols>
  <sheetData>
    <row r="3" spans="3:7" s="3" customFormat="1">
      <c r="C3" s="167" t="s">
        <v>102</v>
      </c>
      <c r="D3" s="168" t="s">
        <v>113</v>
      </c>
      <c r="E3" s="168"/>
      <c r="F3" s="168"/>
    </row>
    <row r="4" spans="3:7" s="2" customFormat="1">
      <c r="C4" s="167"/>
      <c r="D4" s="6" t="s">
        <v>111</v>
      </c>
      <c r="E4" s="6" t="s">
        <v>112</v>
      </c>
      <c r="F4" s="6" t="s">
        <v>95</v>
      </c>
    </row>
    <row r="5" spans="3:7" s="5" customFormat="1" hidden="1">
      <c r="C5" s="10" t="s">
        <v>103</v>
      </c>
      <c r="D5" s="9"/>
      <c r="E5" s="9"/>
      <c r="F5" s="11">
        <f>485856564.5/10^6</f>
        <v>485.85656449999999</v>
      </c>
    </row>
    <row r="6" spans="3:7" s="5" customFormat="1" hidden="1">
      <c r="C6" s="10" t="s">
        <v>104</v>
      </c>
      <c r="D6" s="9"/>
      <c r="E6" s="9"/>
      <c r="F6" s="11">
        <f>947768055.5/10^6</f>
        <v>947.76805549999995</v>
      </c>
    </row>
    <row r="7" spans="3:7">
      <c r="C7" s="1" t="s">
        <v>105</v>
      </c>
      <c r="D7" s="7">
        <v>1046.1329619999999</v>
      </c>
      <c r="E7" s="7">
        <v>1113.30503635375</v>
      </c>
      <c r="F7" s="8">
        <f>SUM(D7:E7)</f>
        <v>2159.4379983537501</v>
      </c>
    </row>
    <row r="8" spans="3:7">
      <c r="C8" s="1" t="s">
        <v>106</v>
      </c>
      <c r="D8" s="7">
        <v>1034.2393849999999</v>
      </c>
      <c r="E8" s="7">
        <v>719.495721</v>
      </c>
      <c r="F8" s="8">
        <f t="shared" ref="F8:F12" si="0">SUM(D8:E8)</f>
        <v>1753.7351059999999</v>
      </c>
    </row>
    <row r="9" spans="3:7">
      <c r="C9" s="1" t="s">
        <v>107</v>
      </c>
      <c r="D9" s="7">
        <v>484.28944399999995</v>
      </c>
      <c r="E9" s="7">
        <v>483.57670607</v>
      </c>
      <c r="F9" s="8">
        <f t="shared" si="0"/>
        <v>967.86615007</v>
      </c>
    </row>
    <row r="10" spans="3:7">
      <c r="C10" s="1" t="s">
        <v>108</v>
      </c>
      <c r="D10" s="7">
        <v>669.27946420000001</v>
      </c>
      <c r="E10" s="7">
        <v>859.21150440000019</v>
      </c>
      <c r="F10" s="8">
        <f t="shared" si="0"/>
        <v>1528.4909686000001</v>
      </c>
    </row>
    <row r="11" spans="3:7">
      <c r="C11" s="1" t="s">
        <v>109</v>
      </c>
      <c r="D11" s="7">
        <v>868.04402991000006</v>
      </c>
      <c r="E11" s="7">
        <v>844.10998640000014</v>
      </c>
      <c r="F11" s="8">
        <f t="shared" si="0"/>
        <v>1712.1540163100003</v>
      </c>
    </row>
    <row r="12" spans="3:7">
      <c r="C12" s="1" t="s">
        <v>110</v>
      </c>
      <c r="D12" s="7">
        <v>645.89654036999991</v>
      </c>
      <c r="E12" s="7"/>
      <c r="F12" s="8">
        <f t="shared" si="0"/>
        <v>645.89654036999991</v>
      </c>
    </row>
    <row r="13" spans="3:7">
      <c r="D13" s="4">
        <f>AVERAGE(D7:D12)</f>
        <v>791.31363757999986</v>
      </c>
      <c r="F13" s="4">
        <f>AVERAGE(F7:F11)</f>
        <v>1624.3368478667501</v>
      </c>
      <c r="G13">
        <f>F13/2</f>
        <v>812.16842393337504</v>
      </c>
    </row>
  </sheetData>
  <mergeCells count="2">
    <mergeCell ref="C3:C4"/>
    <mergeCell ref="D3:F3"/>
  </mergeCells>
  <pageMargins left="0.7" right="0.7" top="0.75" bottom="0.75" header="0.3" footer="0.3"/>
  <pageSetup orientation="portrait" horizontalDpi="4294967295" verticalDpi="4294967295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Actual FC, PGCIL &amp; TM Cost</vt:lpstr>
      <vt:lpstr>Avail &amp; Stranded Capacity</vt:lpstr>
      <vt:lpstr>Addnl Surcharge H2_25-26</vt:lpstr>
      <vt:lpstr>Distribution Charges</vt:lpstr>
      <vt:lpstr>Servicewise Inf. SP+NP</vt:lpstr>
      <vt:lpstr>OA Sales Trend</vt:lpstr>
      <vt:lpstr>'Actual FC, PGCIL &amp; TM Cost'!Print_Area</vt:lpstr>
      <vt:lpstr>'Addnl Surcharge H2_25-26'!Print_Area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hp</cp:lastModifiedBy>
  <cp:lastPrinted>2022-11-15T07:33:38Z</cp:lastPrinted>
  <dcterms:created xsi:type="dcterms:W3CDTF">2019-10-25T12:02:31Z</dcterms:created>
  <dcterms:modified xsi:type="dcterms:W3CDTF">2025-06-04T09:42:54Z</dcterms:modified>
</cp:coreProperties>
</file>